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mmary" sheetId="1" state="visible" r:id="rId3"/>
    <sheet name="Rollout" sheetId="2" state="visible" r:id="rId4"/>
    <sheet name="Assumptions" sheetId="3" state="visible" r:id="rId5"/>
    <sheet name="Pessimistic" sheetId="4" state="visible" r:id="rId6"/>
    <sheet name="Realistic" sheetId="5" state="visible" r:id="rId7"/>
    <sheet name="Optimistic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<sst xmlns="http://schemas.openxmlformats.org/spreadsheetml/2006/main" count="659" uniqueCount="352">
  <si>
    <t xml:space="preserve">Atmosphere™ 100K sqft · 1,001 positions — Returns summary</t>
  </si>
  <si>
    <t xml:space="preserve">Project-level, unlevered, pre-tax, single location. Landlord paid by pure revenue share of NOI (no floor). ALA economic share = 40% of OpCo under C+C+C.</t>
  </si>
  <si>
    <t xml:space="preserve">Metric</t>
  </si>
  <si>
    <t xml:space="preserve">Pessimistic</t>
  </si>
  <si>
    <t xml:space="preserve">Realistic</t>
  </si>
  <si>
    <t xml:space="preserve">Optimistic</t>
  </si>
  <si>
    <t xml:space="preserve">Initial CapEx</t>
  </si>
  <si>
    <t xml:space="preserve">Y5 gross revenue</t>
  </si>
  <si>
    <t xml:space="preserve">Y5 gross revenue / sqft GLA</t>
  </si>
  <si>
    <t xml:space="preserve">Y5 line-01 revenue / line-01 sqft (S&amp;C: $384)</t>
  </si>
  <si>
    <t xml:space="preserve">Y5 venue NOI</t>
  </si>
  <si>
    <t xml:space="preserve">Y5 NOI margin</t>
  </si>
  <si>
    <t xml:space="preserve">Y5 landlord income (revenue share)</t>
  </si>
  <si>
    <t xml:space="preserve">Y5 landlord income / sqft</t>
  </si>
  <si>
    <t xml:space="preserve">Y5 landlord: revenue share vs lease alternative</t>
  </si>
  <si>
    <t xml:space="preserve">Y5 OpCo EBITDA</t>
  </si>
  <si>
    <t xml:space="preserve">Y7 OpCo EBITDA</t>
  </si>
  <si>
    <t xml:space="preserve">IRR — 7-yr, no exit</t>
  </si>
  <si>
    <t xml:space="preserve">IRR — with exit at Y7</t>
  </si>
  <si>
    <t xml:space="preserve">NPV @ 15% — no exit</t>
  </si>
  <si>
    <t xml:space="preserve">NPV @ 15% — with exit</t>
  </si>
  <si>
    <t xml:space="preserve">ROI 7-yr — no exit</t>
  </si>
  <si>
    <t xml:space="preserve">ROI — incl. exit (MOIC − 1)</t>
  </si>
  <si>
    <t xml:space="preserve">Payback year (no exit)</t>
  </si>
  <si>
    <t xml:space="preserve">Y5 revenue mix (Realistic)</t>
  </si>
  <si>
    <t xml:space="preserve">01 Open Market &amp; Market Hall</t>
  </si>
  <si>
    <t xml:space="preserve">02 Enterprise Arcade</t>
  </si>
  <si>
    <t xml:space="preserve">03 The Stage</t>
  </si>
  <si>
    <t xml:space="preserve">04 Live Commerce Center</t>
  </si>
  <si>
    <t xml:space="preserve">05 Back of House</t>
  </si>
  <si>
    <t xml:space="preserve">06 Media</t>
  </si>
  <si>
    <t xml:space="preserve">07 Membership</t>
  </si>
  <si>
    <t xml:space="preserve">Anchors</t>
  </si>
  <si>
    <t xml:space="preserve">NPV sensitivity to discount rate (with exit at Y7)</t>
  </si>
  <si>
    <t xml:space="preserve">ALA 40% share of 7-yr OpCo cash (incl. exit), $</t>
  </si>
  <si>
    <t xml:space="preserve">Reading guide:</t>
  </si>
  <si>
    <t xml:space="preserve">• Revenue is built bottom-up from the 1,001 positions (Space &amp; Capacity Model) × price × occupancy — the area-based model Appendix I 5-I asked for. No square foot is counted twice: the Arcade is now the 12+36+51+25 positions, not a 12,000-member line.</t>
  </si>
  <si>
    <t xml:space="preserve">• Landlord is paid a pure share of venue NOI, no floor guarantee. The 'vs lease alternative' row shows the multiple of a Class B/C box rent the landlord earns at run-rate — the number that sells the Industrious-type agreement.</t>
  </si>
  <si>
    <t xml:space="preserve">• Line 01 prices and base occupancy are ALA's own (Fiyat Kiyasi): Optimistic reproduces the S&amp;C Model's ≈$9.2M line-01 bridge. Line 01 (300 daily tables) is the largest line; its occupancy and blended day-rate are the two sensitivities that decide the case. Optimistic equals the S&amp;C Model base (55%, 15% CPG).</t>
  </si>
  <si>
    <t xml:space="preserve">• Not a valuation or forecast. Pre-tax, unlevered, single LLC; no PEIT/TRS in the PoC (5-J).</t>
  </si>
  <si>
    <t xml:space="preserve">NATIONWIDE ROLLOUT — Y5 snapshot (see 'Rollout' sheet)</t>
  </si>
  <si>
    <t xml:space="preserve">Locations open at Y5</t>
  </si>
  <si>
    <t xml:space="preserve">Y5 portfolio gross revenue</t>
  </si>
  <si>
    <t xml:space="preserve">Y5 portfolio EBITDA</t>
  </si>
  <si>
    <t xml:space="preserve">Y5 EBITDA margin</t>
  </si>
  <si>
    <t xml:space="preserve">Y5 EV on actual EBITDA</t>
  </si>
  <si>
    <t xml:space="preserve">Y5 EV on stabilized EBITDA</t>
  </si>
  <si>
    <t xml:space="preserve">Y5 EV floor (Industrious $4M/unit)</t>
  </si>
  <si>
    <t xml:space="preserve">Boxes needed for unicorn ($1B)</t>
  </si>
  <si>
    <t xml:space="preserve">Boxes needed for decacorn ($10B)</t>
  </si>
  <si>
    <t xml:space="preserve">First year stabilized EV ≥ $1B</t>
  </si>
  <si>
    <t xml:space="preserve">First year stabilized EV ≥ $10B</t>
  </si>
  <si>
    <t xml:space="preserve">Peak equity funding need</t>
  </si>
  <si>
    <t xml:space="preserve">Cumulative cash at Y7</t>
  </si>
  <si>
    <t xml:space="preserve">Nationwide rollout — Trader Joe's footprint · conscious-consumer / Gen Z density · Class B/C box stock</t>
  </si>
  <si>
    <t xml:space="preserve">Long-range scenario (Appendix I §7.3 label). Each location is a copy of the single-box economics on the scenario sheets, opened per the schedule below and ramped on the same curve. Location pool: S&amp;C Model 'Lokasyon Cercevesi' (16 first-pass metros, Track A 42 TJ states + DC, Track B 8 states); Green Street 250 Class B malls; Coresight 30M+ sqft closing 2026. Not a forecast.</t>
  </si>
  <si>
    <t xml:space="preserve">PESSIMISTIC — per-location run-rate from 'Pessimistic' sheet (Y5 column)</t>
  </si>
  <si>
    <t xml:space="preserve">Line</t>
  </si>
  <si>
    <t xml:space="preserve">Y1</t>
  </si>
  <si>
    <t xml:space="preserve">Y2</t>
  </si>
  <si>
    <t xml:space="preserve">Y3</t>
  </si>
  <si>
    <t xml:space="preserve">Y4</t>
  </si>
  <si>
    <t xml:space="preserve">Y5</t>
  </si>
  <si>
    <t xml:space="preserve">Y6</t>
  </si>
  <si>
    <t xml:space="preserve">Y7</t>
  </si>
  <si>
    <t xml:space="preserve">Note</t>
  </si>
  <si>
    <t xml:space="preserve">New locations opened in year</t>
  </si>
  <si>
    <t xml:space="preserve">Input. Cum. Y5 = 20. Industrious 50%+ CAGR as upper reference; C8: no 2nd box before 4 quarters of data → Y2 count is the discipline</t>
  </si>
  <si>
    <t xml:space="preserve">Cumulative locations open</t>
  </si>
  <si>
    <t xml:space="preserve">Per-location run-rate: gross revenue</t>
  </si>
  <si>
    <t xml:space="preserve">Per-location run-rate: venue NOI after landlord share</t>
  </si>
  <si>
    <t xml:space="preserve">Per-location CapEx (first two boxes)</t>
  </si>
  <si>
    <t xml:space="preserve">CapEx learning factor from 3rd box (fixture reuse, Phygital Elements factory)</t>
  </si>
  <si>
    <t xml:space="preserve">Teaser C+C: factory makes every location a captive order</t>
  </si>
  <si>
    <t xml:space="preserve">HQ / platform G&amp;A ($/yr): systems, ally management, finance, legal</t>
  </si>
  <si>
    <t xml:space="preserve">Claude est. — replaces single-box G&amp;A</t>
  </si>
  <si>
    <t xml:space="preserve">Per-location overhead with shared services ($/yr)</t>
  </si>
  <si>
    <t xml:space="preserve">Claude est. — below single-box G&amp;A</t>
  </si>
  <si>
    <t xml:space="preserve">Addressable box pool (Class B/C malls + dept-store/drugstore shells in scored counties)</t>
  </si>
  <si>
    <t xml:space="preserve">Claude est.: 250 Class B malls (Green Street) + C malls + big-box shells; TJ 661 stores / 42 states</t>
  </si>
  <si>
    <t xml:space="preserve">EV / EBITDA multiple (operator)</t>
  </si>
  <si>
    <t xml:space="preserve">Industrious per-unit value floor ($/location)</t>
  </si>
  <si>
    <t xml:space="preserve">casestudies: ~$800M EV ÷ ~200 units</t>
  </si>
  <si>
    <t xml:space="preserve">Cohort ramp matrix — location-equivalents at full run-rate</t>
  </si>
  <si>
    <t xml:space="preserve">Cohort opened Y1</t>
  </si>
  <si>
    <t xml:space="preserve">Cohort opened Y2</t>
  </si>
  <si>
    <t xml:space="preserve">Cohort opened Y3</t>
  </si>
  <si>
    <t xml:space="preserve">Cohort opened Y4</t>
  </si>
  <si>
    <t xml:space="preserve">Cohort opened Y5</t>
  </si>
  <si>
    <t xml:space="preserve">Cohort opened Y6</t>
  </si>
  <si>
    <t xml:space="preserve">Cohort opened Y7</t>
  </si>
  <si>
    <t xml:space="preserve">Location-equivalents (LYE)</t>
  </si>
  <si>
    <t xml:space="preserve">Portfolio P&amp;L</t>
  </si>
  <si>
    <t xml:space="preserve">Gross revenue</t>
  </si>
  <si>
    <t xml:space="preserve">Venue NOI after landlord share</t>
  </si>
  <si>
    <t xml:space="preserve">Per-location overhead</t>
  </si>
  <si>
    <t xml:space="preserve">HQ / platform G&amp;A</t>
  </si>
  <si>
    <t xml:space="preserve">Portfolio EBITDA</t>
  </si>
  <si>
    <t xml:space="preserve">EBITDA margin</t>
  </si>
  <si>
    <t xml:space="preserve">Maintenance capex</t>
  </si>
  <si>
    <t xml:space="preserve">Growth CapEx (new boxes)</t>
  </si>
  <si>
    <t xml:space="preserve">Free cash flow</t>
  </si>
  <si>
    <t xml:space="preserve">Cumulative cash (equity funding need = minimum)</t>
  </si>
  <si>
    <t xml:space="preserve">Valuation</t>
  </si>
  <si>
    <t xml:space="preserve">EV on actual-year EBITDA × multiple</t>
  </si>
  <si>
    <t xml:space="preserve">Stabilized EBITDA (all open boxes at run-rate)</t>
  </si>
  <si>
    <t xml:space="preserve">EV on stabilized EBITDA × multiple</t>
  </si>
  <si>
    <t xml:space="preserve">EV floor: Industrious $/unit × open boxes</t>
  </si>
  <si>
    <t xml:space="preserve">Unicorn / decacorn thresholds</t>
  </si>
  <si>
    <t xml:space="preserve">Stabilized EBITDA contribution per box after shared overhead</t>
  </si>
  <si>
    <t xml:space="preserve">Boxes needed for $1B EV (stabilized, EBITDA multiple)</t>
  </si>
  <si>
    <t xml:space="preserve">Boxes needed for $10B EV (stabilized, EBITDA multiple)</t>
  </si>
  <si>
    <t xml:space="preserve">Boxes for $1B on Industrious per-unit floor</t>
  </si>
  <si>
    <t xml:space="preserve">Decacorn count vs addressable pool</t>
  </si>
  <si>
    <t xml:space="preserve">Peak equity funding need (most negative cumulative cash)</t>
  </si>
  <si>
    <t xml:space="preserve">REALISTIC — per-location run-rate from 'Realistic' sheet (Y5 column)</t>
  </si>
  <si>
    <t xml:space="preserve">Input. Cum. Y5 = 50. Industrious 50%+ CAGR as upper reference; C8: no 2nd box before 4 quarters of data → Y2 count is the discipline</t>
  </si>
  <si>
    <t xml:space="preserve">OPTIMISTIC — per-location run-rate from 'Optimistic' sheet (Y5 column)</t>
  </si>
  <si>
    <t xml:space="preserve">Input. Cum. Y5 = 100. Industrious 50%+ CAGR as upper reference; C8: no 2nd box before 4 quarters of data → Y2 count is the discipline</t>
  </si>
  <si>
    <t xml:space="preserve">Atmosphere™ — 100K sqft box · 1,001 positions · area-based P&amp;L, ROI, IRR, NPV · three scenarios</t>
  </si>
  <si>
    <t xml:space="preserve">Blue = editable input. Black = formula. Position counts, areas, table/stall price bands and base occupancy: ALA Space &amp; Capacity Model (Space_Capacity_Model.xlsx, uploaded 2 Sep 2026 — sheet/cell cited per row). Price bands: Below the Iceberg §4.5 (Costco/CDS anchor: entrepreneur table $60–200, CPG $150–250). Seven lines per Maya's day (thirdplace-at.atmospheremarketplace.com). Cost ratios: casestudies.fifthwallpe.com. Landlord = pure revenue share of venue NOI, no floor guarantee (user instruction, 2 Sep 2026). Items marked 'Claude est.' are not published by ALA.</t>
  </si>
  <si>
    <t xml:space="preserve">Assumption</t>
  </si>
  <si>
    <t xml:space="preserve">Basis / source</t>
  </si>
  <si>
    <t xml:space="preserve">SPACE (Space &amp; Capacity Model)</t>
  </si>
  <si>
    <t xml:space="preserve">Leased area, GLA (sqft)</t>
  </si>
  <si>
    <t xml:space="preserve">Scenario input</t>
  </si>
  <si>
    <t xml:space="preserve">Programmable area (sqft)</t>
  </si>
  <si>
    <t xml:space="preserve">S&amp;C Model Alan Denklemi C10: 100K − 40K public + 20K mezzanine + 12K parking open market; entrepreneur 58,667 / used 57,639</t>
  </si>
  <si>
    <t xml:space="preserve">Anchor area (sqft)</t>
  </si>
  <si>
    <t xml:space="preserve">S&amp;C Model Anchor Yerlesimi: TJ-type 12K, TJX-type 10K, appliances 2.8K, electronics 2.4K, bistro 2K, café 1K, 6 street-food 1.8K, wellness 1.3K = 13 units</t>
  </si>
  <si>
    <t xml:space="preserve">Line 01 area (sqft)</t>
  </si>
  <si>
    <t xml:space="preserve">S&amp;C Model Girisimci Yerlesimi D44</t>
  </si>
  <si>
    <t xml:space="preserve">Line 02 area (sqft)</t>
  </si>
  <si>
    <t xml:space="preserve">D45</t>
  </si>
  <si>
    <t xml:space="preserve">Line 03 area (sqft)</t>
  </si>
  <si>
    <t xml:space="preserve">D46</t>
  </si>
  <si>
    <t xml:space="preserve">Line 04 area (sqft) + digital-twin 2,302</t>
  </si>
  <si>
    <t xml:space="preserve">D47 + D49</t>
  </si>
  <si>
    <t xml:space="preserve">Line 05 area (sqft)</t>
  </si>
  <si>
    <t xml:space="preserve">D48</t>
  </si>
  <si>
    <t xml:space="preserve">LINE 01 · OPEN MARKET &amp; MARKET HALL — daily tables</t>
  </si>
  <si>
    <t xml:space="preserve">Daily tables (positions)</t>
  </si>
  <si>
    <t xml:space="preserve">S&amp;C Model · Girisimci Yerlesimi E5 (40 sqft/table)</t>
  </si>
  <si>
    <t xml:space="preserve">Selling days / year</t>
  </si>
  <si>
    <t xml:space="preserve">S&amp;C Model · Fiyat Kiyasi B25</t>
  </si>
  <si>
    <t xml:space="preserve">Average table occupancy</t>
  </si>
  <si>
    <t xml:space="preserve">O = S&amp;C Model base (Fiyat Kiyasi B23 = 55%); R/P haircut — untested (C2/C18)</t>
  </si>
  <si>
    <t xml:space="preserve">Entrepreneur table, $/day (blended, Fifth Signal dynamic)</t>
  </si>
  <si>
    <t xml:space="preserve">S&amp;C Model · Fiyat Kiyasi D14 base $130 (band $60–200); P near band floor</t>
  </si>
  <si>
    <t xml:space="preserve">CPG test-brand table, $/day</t>
  </si>
  <si>
    <t xml:space="preserve">S&amp;C Model · Fiyat Kiyasi D15 base $200 (band $150–250, parallel to CDS)</t>
  </si>
  <si>
    <t xml:space="preserve">CPG share of table-days</t>
  </si>
  <si>
    <t xml:space="preserve">S&amp;C Model · Fiyat Kiyasi B22 = 15%</t>
  </si>
  <si>
    <t xml:space="preserve">  cost of delivery % (booking ops, cleaning, turnover, floor staff)</t>
  </si>
  <si>
    <t xml:space="preserve">casestudies 30% + floor-staff load for 300 day-vendors (Claude est.)</t>
  </si>
  <si>
    <t xml:space="preserve">Vitrines — monthly storefronts (positions)</t>
  </si>
  <si>
    <t xml:space="preserve">S&amp;C Model · Girisimci Yerlesimi E6 (120 sqft kiosk)</t>
  </si>
  <si>
    <t xml:space="preserve">Vitrine, $/month</t>
  </si>
  <si>
    <t xml:space="preserve">Claude est.: kiosk/inline specialty-leasing rates, no term</t>
  </si>
  <si>
    <t xml:space="preserve">Vitrine occupancy</t>
  </si>
  <si>
    <t xml:space="preserve">Outdoor stalls — parking open market (positions)</t>
  </si>
  <si>
    <t xml:space="preserve">S&amp;C Model · Girisimci Yerlesimi E8 (10×10 on 12,000 sqft of parking)</t>
  </si>
  <si>
    <t xml:space="preserve">Stall, $/day</t>
  </si>
  <si>
    <t xml:space="preserve">S&amp;C Model · Fiyat Kiyasi D16 base $80 (band $40–120)</t>
  </si>
  <si>
    <t xml:space="preserve">Stall occupancy (weekend-weighted average)</t>
  </si>
  <si>
    <t xml:space="preserve">O = S&amp;C Model base (Fiyat Kiyasi B24 = 30%)</t>
  </si>
  <si>
    <t xml:space="preserve">  cost of delivery % — vitrines &amp; stalls</t>
  </si>
  <si>
    <t xml:space="preserve">casestudies modular 30%</t>
  </si>
  <si>
    <t xml:space="preserve">LINE 02 · ENTERPRISE ARCADE — studios, micro-rooms, desks, benches (replaces the 12,000-member Arcade line)</t>
  </si>
  <si>
    <t xml:space="preserve">Studios (positions)</t>
  </si>
  <si>
    <t xml:space="preserve">S&amp;C Model E9 · 400 sqft, hourly booking</t>
  </si>
  <si>
    <t xml:space="preserve">Studio, $/month equivalent (hourly bookings)</t>
  </si>
  <si>
    <t xml:space="preserve">Yoga/fitness studio hourly $25–40 × utilisation (Claude est.)</t>
  </si>
  <si>
    <t xml:space="preserve">Micro-rooms (positions)</t>
  </si>
  <si>
    <t xml:space="preserve">S&amp;C Model E10 · 120 sqft, hourly</t>
  </si>
  <si>
    <t xml:space="preserve">Micro-room, $/month</t>
  </si>
  <si>
    <t xml:space="preserve">~half Industrious private-office price (Claude est.)</t>
  </si>
  <si>
    <t xml:space="preserve">Hot desks (positions)</t>
  </si>
  <si>
    <t xml:space="preserve">S&amp;C Model E11 · 35 sqft</t>
  </si>
  <si>
    <t xml:space="preserve">Dedicated desk, $/month</t>
  </si>
  <si>
    <t xml:space="preserve">Claude est.</t>
  </si>
  <si>
    <t xml:space="preserve">Maker benches (positions)</t>
  </si>
  <si>
    <t xml:space="preserve">S&amp;C Model E12 · 60 sqft, wet/dry, powered</t>
  </si>
  <si>
    <t xml:space="preserve">Bench, $/month</t>
  </si>
  <si>
    <t xml:space="preserve">Arcade occupancy (all four)</t>
  </si>
  <si>
    <t xml:space="preserve">Appendix I kill threshold: &lt;50% at month 6</t>
  </si>
  <si>
    <t xml:space="preserve">  cost of delivery % — serviced workspace</t>
  </si>
  <si>
    <t xml:space="preserve">casestudies Arcade ~75%; lower here as rooms are smaller/unstaffed (Claude est.)</t>
  </si>
  <si>
    <t xml:space="preserve">LINE 03 · THE STAGE</t>
  </si>
  <si>
    <t xml:space="preserve">Main stage — bookable slots per day</t>
  </si>
  <si>
    <t xml:space="preserve">S&amp;C Model E14: 1 main stage (2,800 sqft) → slots (open class / show / live-selling). Claude est.</t>
  </si>
  <si>
    <t xml:space="preserve">Main-stage slot fill rate</t>
  </si>
  <si>
    <t xml:space="preserve">Main-stage slot fee, $</t>
  </si>
  <si>
    <t xml:space="preserve">Claude est.: rehearsal/showcase rates for 60–80-seat venues</t>
  </si>
  <si>
    <t xml:space="preserve">Live-selling GMV per filled main-stage slot, $</t>
  </si>
  <si>
    <t xml:space="preserve">Livestream booths (positions)</t>
  </si>
  <si>
    <t xml:space="preserve">S&amp;C Model E15 · 150 sqft</t>
  </si>
  <si>
    <t xml:space="preserve">Booth, $/day</t>
  </si>
  <si>
    <t xml:space="preserve">Creator pods (positions)</t>
  </si>
  <si>
    <t xml:space="preserve">S&amp;C Model E16 · 50 sqft</t>
  </si>
  <si>
    <t xml:space="preserve">Pod, $/day</t>
  </si>
  <si>
    <t xml:space="preserve">Booth &amp; pod occupancy</t>
  </si>
  <si>
    <t xml:space="preserve">Live-selling GMV per booth/pod-day, $</t>
  </si>
  <si>
    <t xml:space="preserve">Commission on live-selling GMV</t>
  </si>
  <si>
    <t xml:space="preserve">Leap-type commission (market survey)</t>
  </si>
  <si>
    <t xml:space="preserve">  cost of delivery % (production, hosts, streaming crew)</t>
  </si>
  <si>
    <t xml:space="preserve">casestudies 55%</t>
  </si>
  <si>
    <t xml:space="preserve">LINE 04 · LIVE COMMERCE CENTER — floor commission, fulfilment, lockers</t>
  </si>
  <si>
    <t xml:space="preserve">Floor GMV per table-day, $</t>
  </si>
  <si>
    <t xml:space="preserve">Craft-fair day $100–250 typical (report §4.3); 'best sales day' uplift</t>
  </si>
  <si>
    <t xml:space="preserve">Floor GMV per vitrine-month, $</t>
  </si>
  <si>
    <t xml:space="preserve">Commission on floor GMV (tap-to-pay at pod)</t>
  </si>
  <si>
    <t xml:space="preserve">Maya's day: 'a small commission'</t>
  </si>
  <si>
    <t xml:space="preserve">Pack stations (positions)</t>
  </si>
  <si>
    <t xml:space="preserve">S&amp;C Model E18 · 60 sqft</t>
  </si>
  <si>
    <t xml:space="preserve">Orders per station per day</t>
  </si>
  <si>
    <t xml:space="preserve">Fulfilment fee per order, $</t>
  </si>
  <si>
    <t xml:space="preserve">Pick/pack margin over carrier cost (Claude est.)</t>
  </si>
  <si>
    <t xml:space="preserve">Digital-twin lockers</t>
  </si>
  <si>
    <t xml:space="preserve">S&amp;C Model Girdiler B13 — not counted as positions</t>
  </si>
  <si>
    <t xml:space="preserve">Paid uses per locker per year</t>
  </si>
  <si>
    <t xml:space="preserve">Fee per use, $</t>
  </si>
  <si>
    <t xml:space="preserve">  cost of delivery % — commissions/fulfilment/lockers</t>
  </si>
  <si>
    <t xml:space="preserve">Payment processing + pack labour (Claude est.)</t>
  </si>
  <si>
    <t xml:space="preserve">LINE 05 · BACK OF HOUSE — visible stock</t>
  </si>
  <si>
    <t xml:space="preserve">Visible-stock cages (positions)</t>
  </si>
  <si>
    <t xml:space="preserve">S&amp;C Model E20 · 8 sqft net + 34% aisle</t>
  </si>
  <si>
    <t xml:space="preserve">Cage, $/month</t>
  </si>
  <si>
    <t xml:space="preserve">vs warehouse ≈$6.5/sqft/yr invisible; visibility premium (report §3.12); Claude est.</t>
  </si>
  <si>
    <t xml:space="preserve">Cage occupancy</t>
  </si>
  <si>
    <t xml:space="preserve">Post-de-minimis onshore-stock demand</t>
  </si>
  <si>
    <t xml:space="preserve">  cost of delivery %</t>
  </si>
  <si>
    <t xml:space="preserve">casestudies BOH 45%; lighter for static storage (Claude est.)</t>
  </si>
  <si>
    <t xml:space="preserve">LINE 06 · MEDIA — PingPod</t>
  </si>
  <si>
    <t xml:space="preserve">Media revenue, $/sqft GLA/yr</t>
  </si>
  <si>
    <t xml:space="preserve">casestudies $7 on 200K; denser screen grid per sqft on 100K (Claude est.)</t>
  </si>
  <si>
    <t xml:space="preserve">casestudies 35%</t>
  </si>
  <si>
    <t xml:space="preserve">LINE 07 · MEMBERSHIP — Master only (Arcade is now line 02 capacity)</t>
  </si>
  <si>
    <t xml:space="preserve">Annual visits</t>
  </si>
  <si>
    <t xml:space="preserve">casestudies 1.5M for 200K; halved and haircut</t>
  </si>
  <si>
    <t xml:space="preserve">Visits → paying Master members</t>
  </si>
  <si>
    <t xml:space="preserve">casestudies 2% (30k/1.5M); untested (C11/C12)</t>
  </si>
  <si>
    <t xml:space="preserve">Master, $/month</t>
  </si>
  <si>
    <t xml:space="preserve">Retention applied</t>
  </si>
  <si>
    <t xml:space="preserve">  cost of delivery % (coffee, water, wifi)</t>
  </si>
  <si>
    <t xml:space="preserve">Derived from casestudies</t>
  </si>
  <si>
    <t xml:space="preserve">ANCHORS — 8 brands + 6 street-food (1/3 of GLA)</t>
  </si>
  <si>
    <t xml:space="preserve">Anchor occupancy cost, $/sqft/yr (rent-equivalent + % rent)</t>
  </si>
  <si>
    <t xml:space="preserve">CoStar national asking $25.5 NNN; Class B/C box discount vs grocery/off-price premium</t>
  </si>
  <si>
    <t xml:space="preserve">  cost of delivery % (anchor CAM absorbed)</t>
  </si>
  <si>
    <t xml:space="preserve">VENUE FIXED COSTS</t>
  </si>
  <si>
    <t xml:space="preserve">Building opex, $/sqft GLA/month</t>
  </si>
  <si>
    <t xml:space="preserve">casestudies $0.50 assumed 10–15 staff; 1,001 positions need a larger floor team (Claude est.)</t>
  </si>
  <si>
    <t xml:space="preserve">Other fixed opex: insurance, tax share, security, tech amortisation ($/yr)</t>
  </si>
  <si>
    <t xml:space="preserve">C13 missing lines (Claude est.)</t>
  </si>
  <si>
    <t xml:space="preserve">Marketing / demand engine, % of gross</t>
  </si>
  <si>
    <t xml:space="preserve">Appendix I 5-A</t>
  </si>
  <si>
    <t xml:space="preserve">Sponsor royalty rate</t>
  </si>
  <si>
    <t xml:space="preserve">Sponsor Invitation 10%. O: traffic commitment, no cash</t>
  </si>
  <si>
    <t xml:space="preserve">Sponsor royalty base (1 = gross, 2 = net of media + membership)</t>
  </si>
  <si>
    <t xml:space="preserve">Appendix I 5-E</t>
  </si>
  <si>
    <t xml:space="preserve">Sponsor royalty cap, $/yr</t>
  </si>
  <si>
    <t xml:space="preserve">5-E capped; P uncapped</t>
  </si>
  <si>
    <t xml:space="preserve">LANDLORD &amp; OPCO</t>
  </si>
  <si>
    <t xml:space="preserve">Landlord revenue share — % of venue NOI (no floor guarantee)</t>
  </si>
  <si>
    <t xml:space="preserve">Pure revenue share, Industrious doctrine. P: landlord bargains hard; O: mirrors 20% C+C+C slice. Market: operator profit-share deals range 20–40% where landlord contributes shell only</t>
  </si>
  <si>
    <t xml:space="preserve">Landlord's lease alternative, $/sqft/yr NNN (for comparison only)</t>
  </si>
  <si>
    <t xml:space="preserve">Class B/C big-box asking rents; CoStar avg $25.5 is all-retail</t>
  </si>
  <si>
    <t xml:space="preserve">OpCo overhead / G&amp;A, $/yr</t>
  </si>
  <si>
    <t xml:space="preserve">Maintenance capex, % of gross (from Y2)</t>
  </si>
  <si>
    <t xml:space="preserve">Ramp Y1 — share of Y5 run-rate</t>
  </si>
  <si>
    <t xml:space="preserve">Ramp Y2</t>
  </si>
  <si>
    <t xml:space="preserve">Ramp Y3</t>
  </si>
  <si>
    <t xml:space="preserve">Ramp Y4</t>
  </si>
  <si>
    <t xml:space="preserve">Ramp Y5</t>
  </si>
  <si>
    <t xml:space="preserve">Revenue growth Y6–Y7</t>
  </si>
  <si>
    <t xml:space="preserve">CAPEX (Y0) — landlord contributes shell, base building, parking, entitlements</t>
  </si>
  <si>
    <t xml:space="preserve">Phygital Elements fixtures: 300 tables, 30 vitrines, 100 stalls, 25 benches</t>
  </si>
  <si>
    <t xml:space="preserve">~$1.5k/table, $8k/vitrine, $1.5k/stall (Claude est.)</t>
  </si>
  <si>
    <t xml:space="preserve">Arcade build-out: 12 studios, 36 micro-rooms, 51 desks (mezzanine)</t>
  </si>
  <si>
    <t xml:space="preserve">Visible-stock cages (420) + digital-twin lockers (1,001)</t>
  </si>
  <si>
    <t xml:space="preserve">~$600/cage, ~$400/locker (Claude est.)</t>
  </si>
  <si>
    <t xml:space="preserve">Stage AV, streaming, production</t>
  </si>
  <si>
    <t xml:space="preserve">DOOH screen network &amp; sensors (PingPod / HuxNet)</t>
  </si>
  <si>
    <t xml:space="preserve">Pack stations, kitchen/cottage-food module, payment pods</t>
  </si>
  <si>
    <t xml:space="preserve">Report rec. 2: cottage-food kitchen is day-one module</t>
  </si>
  <si>
    <t xml:space="preserve">Four systems integration (OffNdOn, PingPod, HuxNet, Fifth Signal) — PoC scope</t>
  </si>
  <si>
    <t xml:space="preserve">5-L</t>
  </si>
  <si>
    <t xml:space="preserve">Pre-opening, working capital, contingency</t>
  </si>
  <si>
    <t xml:space="preserve">~6 months opex (Claude est.)</t>
  </si>
  <si>
    <t xml:space="preserve">RETURNS</t>
  </si>
  <si>
    <t xml:space="preserve">Discount rate (NPV)</t>
  </si>
  <si>
    <t xml:space="preserve">Sensitivity on Summary</t>
  </si>
  <si>
    <t xml:space="preserve">Exit multiple on Y7 OpCo cash flow</t>
  </si>
  <si>
    <t xml:space="preserve">CBRE/Industrious operator precedent</t>
  </si>
  <si>
    <t xml:space="preserve">Total initial CapEx (Y0)</t>
  </si>
  <si>
    <t xml:space="preserve">Atmosphere™ 100K sqft · 1,001 positions — Pessimistic · annual, $ · single LLC, pre-tax, unlevered</t>
  </si>
  <si>
    <t xml:space="preserve">Y0</t>
  </si>
  <si>
    <t xml:space="preserve">Ramp / scale factor</t>
  </si>
  <si>
    <t xml:space="preserve">REVENUE — seven lines</t>
  </si>
  <si>
    <t xml:space="preserve">01 Tables — entrepreneur tariff</t>
  </si>
  <si>
    <t xml:space="preserve">01 Tables — CPG test-brand tariff</t>
  </si>
  <si>
    <t xml:space="preserve">01 Vitrines (monthly storefronts)</t>
  </si>
  <si>
    <t xml:space="preserve">01 Outdoor stalls (parking open market)</t>
  </si>
  <si>
    <t xml:space="preserve">02 Arcade — studios, micro-rooms, desks, benches</t>
  </si>
  <si>
    <t xml:space="preserve">03 Stage — main-stage slot fees + booth/pod rental</t>
  </si>
  <si>
    <t xml:space="preserve">03 Stage — live-selling commission</t>
  </si>
  <si>
    <t xml:space="preserve">04 Floor sales commission (tables + vitrines GMV)</t>
  </si>
  <si>
    <t xml:space="preserve">04 Fulfilment — pack stations</t>
  </si>
  <si>
    <t xml:space="preserve">04 Digital-twin lockers</t>
  </si>
  <si>
    <t xml:space="preserve">05 Back of house — visible-stock cages</t>
  </si>
  <si>
    <t xml:space="preserve">06 Media — PingPod</t>
  </si>
  <si>
    <t xml:space="preserve">07 Membership — Master</t>
  </si>
  <si>
    <t xml:space="preserve">Anchors — 8 brands + 6 street-food</t>
  </si>
  <si>
    <t xml:space="preserve">Gross revenue per sqft GLA</t>
  </si>
  <si>
    <t xml:space="preserve">  01 revenue / line-01 sqft (S&amp;C Model benchmark: $384, 15× market rent)</t>
  </si>
  <si>
    <t xml:space="preserve">  02 revenue / line-02 sqft</t>
  </si>
  <si>
    <t xml:space="preserve">  03 revenue / line-03 sqft</t>
  </si>
  <si>
    <t xml:space="preserve">  04 revenue / line-04 sqft</t>
  </si>
  <si>
    <t xml:space="preserve">  05 revenue / line-05 sqft</t>
  </si>
  <si>
    <t xml:space="preserve">  Anchor revenue / anchor sqft</t>
  </si>
  <si>
    <t xml:space="preserve">COST OF DELIVERY</t>
  </si>
  <si>
    <t xml:space="preserve">01 Tables</t>
  </si>
  <si>
    <t xml:space="preserve">01 Vitrines &amp; stalls</t>
  </si>
  <si>
    <t xml:space="preserve">02 Arcade</t>
  </si>
  <si>
    <t xml:space="preserve">03 Stage</t>
  </si>
  <si>
    <t xml:space="preserve">04 Live commerce center</t>
  </si>
  <si>
    <t xml:space="preserve">05 Back of house</t>
  </si>
  <si>
    <t xml:space="preserve">Total cost of delivery</t>
  </si>
  <si>
    <t xml:space="preserve">Contribution margin</t>
  </si>
  <si>
    <t xml:space="preserve">Building opex</t>
  </si>
  <si>
    <t xml:space="preserve">Other fixed opex (insurance, tax share, security, tech amort.)</t>
  </si>
  <si>
    <t xml:space="preserve">Marketing / demand engine</t>
  </si>
  <si>
    <t xml:space="preserve">Sponsor royalty</t>
  </si>
  <si>
    <t xml:space="preserve">Venue NOI</t>
  </si>
  <si>
    <t xml:space="preserve">NOI margin</t>
  </si>
  <si>
    <t xml:space="preserve">LANDLORD — pure revenue share, no floor</t>
  </si>
  <si>
    <t xml:space="preserve">Landlord share of venue NOI</t>
  </si>
  <si>
    <t xml:space="preserve">  Landlord income, $/sqft GLA</t>
  </si>
  <si>
    <t xml:space="preserve">  Landlord's lease alternative ($/sqft × GLA)</t>
  </si>
  <si>
    <t xml:space="preserve">  Revenue share vs lease (×)</t>
  </si>
  <si>
    <t xml:space="preserve">OPCO</t>
  </si>
  <si>
    <t xml:space="preserve">OpCo overhead / G&amp;A</t>
  </si>
  <si>
    <t xml:space="preserve">OpCo EBITDA (pre-tax, pre-40/40/20 distribution)</t>
  </si>
  <si>
    <t xml:space="preserve">Operating cash flow (ex exit)</t>
  </si>
  <si>
    <t xml:space="preserve">Terminal value (exit multiple × Y7 EBITDA − maint. capex)</t>
  </si>
  <si>
    <t xml:space="preserve">Total cash flow (incl. exit)</t>
  </si>
  <si>
    <t xml:space="preserve">Cumulative cash flow (ex exit)</t>
  </si>
  <si>
    <t xml:space="preserve">NPV @ discount rate — no exit</t>
  </si>
  <si>
    <t xml:space="preserve">NPV @ discount rate — with exit</t>
  </si>
  <si>
    <t xml:space="preserve">Atmosphere™ 100K sqft · 1,001 positions — Realistic · annual, $ · single LLC, pre-tax, unlevered</t>
  </si>
  <si>
    <t xml:space="preserve">Atmosphere™ 100K sqft · 1,001 positions — Optimistic · annual, $ · single LLC, pre-tax, unlevered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</si>
</sst>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\$#,##0;&quot;($&quot;#,##0\);\-"/>
    <numFmt numFmtId="166" formatCode="\$#,##0.00"/>
    <numFmt numFmtId="167" formatCode="0.0%"/>
    <numFmt numFmtId="168" formatCode="0.0\x"/>
    <numFmt numFmtId="169" formatCode="@"/>
    <numFmt numFmtId="170" formatCode="#,##0;\(#,##0\);\-"/>
    <numFmt numFmtId="171" formatCode="0.00"/>
    <numFmt numFmtId="172" formatCode="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8000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9"/>
      <name val="Arial"/>
      <family val="0"/>
      <charset val="1"/>
    </font>
    <font>
      <sz val="9"/>
      <name val="Arial"/>
      <family val="0"/>
      <charset val="1"/>
    </font>
    <font>
      <sz val="11"/>
      <name val="Arial"/>
      <family val="0"/>
      <charset val="1"/>
    </font>
    <font>
      <b val="true"/>
      <sz val="12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D9E1F2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2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4" min="2" style="0" width="17"/>
  </cols>
  <sheetData>
    <row r="1" customFormat="false" ht="16.1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</row>
    <row r="5" customFormat="false" ht="15" hidden="false" customHeight="false" outlineLevel="0" collapsed="false">
      <c r="A5" s="0" t="s">
        <v>6</v>
      </c>
      <c r="B5" s="4" t="n">
        <f aca="false">Assumptions!B110</f>
        <v>8500000</v>
      </c>
      <c r="C5" s="4" t="n">
        <f aca="false">Assumptions!C110</f>
        <v>6250000</v>
      </c>
      <c r="D5" s="4" t="n">
        <f aca="false">Assumptions!D110</f>
        <v>5100000</v>
      </c>
    </row>
    <row r="6" customFormat="false" ht="15" hidden="false" customHeight="false" outlineLevel="0" collapsed="false">
      <c r="A6" s="0" t="s">
        <v>7</v>
      </c>
      <c r="B6" s="4" t="n">
        <f aca="false">Pessimistic!G21</f>
        <v>7277548</v>
      </c>
      <c r="C6" s="4" t="n">
        <f aca="false">Realistic!G21</f>
        <v>16301765</v>
      </c>
      <c r="D6" s="4" t="n">
        <f aca="false">Optimistic!G21</f>
        <v>27113882</v>
      </c>
    </row>
    <row r="7" customFormat="false" ht="15" hidden="false" customHeight="false" outlineLevel="0" collapsed="false">
      <c r="A7" s="0" t="s">
        <v>8</v>
      </c>
      <c r="B7" s="5" t="n">
        <f aca="false">Pessimistic!G22</f>
        <v>72.77548</v>
      </c>
      <c r="C7" s="5" t="n">
        <f aca="false">Realistic!G22</f>
        <v>163.01765</v>
      </c>
      <c r="D7" s="5" t="n">
        <f aca="false">Optimistic!G22</f>
        <v>271.13882</v>
      </c>
    </row>
    <row r="8" customFormat="false" ht="15" hidden="false" customHeight="false" outlineLevel="0" collapsed="false">
      <c r="A8" s="0" t="s">
        <v>9</v>
      </c>
      <c r="B8" s="5" t="n">
        <f aca="false">Pessimistic!G23</f>
        <v>119.172413793103</v>
      </c>
      <c r="C8" s="5" t="n">
        <f aca="false">Realistic!G23</f>
        <v>255.227586206897</v>
      </c>
      <c r="D8" s="5" t="n">
        <f aca="false">Optimistic!G23</f>
        <v>347.058620689655</v>
      </c>
    </row>
    <row r="9" customFormat="false" ht="15" hidden="false" customHeight="false" outlineLevel="0" collapsed="false">
      <c r="A9" s="0" t="s">
        <v>10</v>
      </c>
      <c r="B9" s="4" t="n">
        <f aca="false">Pessimistic!G48</f>
        <v>772289.96</v>
      </c>
      <c r="C9" s="4" t="n">
        <f aca="false">Realistic!G48</f>
        <v>7236006.4</v>
      </c>
      <c r="D9" s="4" t="n">
        <f aca="false">Optimistic!G48</f>
        <v>15497494</v>
      </c>
    </row>
    <row r="10" customFormat="false" ht="15" hidden="false" customHeight="false" outlineLevel="0" collapsed="false">
      <c r="A10" s="0" t="s">
        <v>11</v>
      </c>
      <c r="B10" s="6" t="n">
        <f aca="false">Pessimistic!G49</f>
        <v>0.106119528170752</v>
      </c>
      <c r="C10" s="6" t="n">
        <f aca="false">Realistic!G49</f>
        <v>0.443878708839196</v>
      </c>
      <c r="D10" s="6" t="n">
        <f aca="false">Optimistic!G49</f>
        <v>0.571570459737193</v>
      </c>
    </row>
    <row r="11" customFormat="false" ht="15" hidden="false" customHeight="false" outlineLevel="0" collapsed="false">
      <c r="A11" s="0" t="s">
        <v>12</v>
      </c>
      <c r="B11" s="4" t="n">
        <f aca="false">-Pessimistic!G52</f>
        <v>231686.988</v>
      </c>
      <c r="C11" s="4" t="n">
        <f aca="false">-Realistic!G52</f>
        <v>1809001.6</v>
      </c>
      <c r="D11" s="4" t="n">
        <f aca="false">-Optimistic!G52</f>
        <v>3099498.8</v>
      </c>
    </row>
    <row r="12" customFormat="false" ht="15" hidden="false" customHeight="false" outlineLevel="0" collapsed="false">
      <c r="A12" s="0" t="s">
        <v>13</v>
      </c>
      <c r="B12" s="5" t="n">
        <f aca="false">Pessimistic!G53</f>
        <v>2.31686988</v>
      </c>
      <c r="C12" s="5" t="n">
        <f aca="false">Realistic!G53</f>
        <v>18.090016</v>
      </c>
      <c r="D12" s="5" t="n">
        <f aca="false">Optimistic!G53</f>
        <v>30.994988</v>
      </c>
    </row>
    <row r="13" customFormat="false" ht="15" hidden="false" customHeight="false" outlineLevel="0" collapsed="false">
      <c r="A13" s="0" t="s">
        <v>14</v>
      </c>
      <c r="B13" s="7" t="n">
        <f aca="false">Pessimistic!G55</f>
        <v>0.231686988</v>
      </c>
      <c r="C13" s="7" t="n">
        <f aca="false">Realistic!G55</f>
        <v>1.50750133333333</v>
      </c>
      <c r="D13" s="7" t="n">
        <f aca="false">Optimistic!G55</f>
        <v>2.06633253333333</v>
      </c>
    </row>
    <row r="14" customFormat="false" ht="15" hidden="false" customHeight="false" outlineLevel="0" collapsed="false">
      <c r="A14" s="0" t="s">
        <v>15</v>
      </c>
      <c r="B14" s="4" t="n">
        <f aca="false">Pessimistic!G59</f>
        <v>-459397.028</v>
      </c>
      <c r="C14" s="4" t="n">
        <f aca="false">Realistic!G59</f>
        <v>4577004.8</v>
      </c>
      <c r="D14" s="4" t="n">
        <f aca="false">Optimistic!G59</f>
        <v>11647995.2</v>
      </c>
    </row>
    <row r="15" customFormat="false" ht="15" hidden="false" customHeight="false" outlineLevel="0" collapsed="false">
      <c r="A15" s="0" t="s">
        <v>16</v>
      </c>
      <c r="B15" s="4" t="n">
        <f aca="false">Pessimistic!I59</f>
        <v>-459397.028</v>
      </c>
      <c r="C15" s="4" t="n">
        <f aca="false">Realistic!I59</f>
        <v>5007080.89232</v>
      </c>
      <c r="D15" s="4" t="n">
        <f aca="false">Optimistic!I59</f>
        <v>13063109.708</v>
      </c>
    </row>
    <row r="16" customFormat="false" ht="15" hidden="false" customHeight="false" outlineLevel="0" collapsed="false">
      <c r="A16" s="0" t="s">
        <v>17</v>
      </c>
      <c r="B16" s="6" t="str">
        <f aca="false">Pessimistic!B68</f>
        <v>n/a (never recovers)</v>
      </c>
      <c r="C16" s="6" t="n">
        <f aca="false">Realistic!B68</f>
        <v>0.338547362913211</v>
      </c>
      <c r="D16" s="6" t="n">
        <f aca="false">Optimistic!B68</f>
        <v>1.33056421597119</v>
      </c>
    </row>
    <row r="17" customFormat="false" ht="15" hidden="false" customHeight="false" outlineLevel="0" collapsed="false">
      <c r="A17" s="0" t="s">
        <v>18</v>
      </c>
      <c r="B17" s="6" t="str">
        <f aca="false">Pessimistic!B69</f>
        <v>n/a</v>
      </c>
      <c r="C17" s="6" t="n">
        <f aca="false">Realistic!B69</f>
        <v>0.483876942522916</v>
      </c>
      <c r="D17" s="6" t="n">
        <f aca="false">Optimistic!B69</f>
        <v>1.38884720623945</v>
      </c>
    </row>
    <row r="18" customFormat="false" ht="15" hidden="false" customHeight="false" outlineLevel="0" collapsed="false">
      <c r="A18" s="0" t="s">
        <v>19</v>
      </c>
      <c r="B18" s="4" t="n">
        <f aca="false">Pessimistic!B70</f>
        <v>-14515723.2941144</v>
      </c>
      <c r="C18" s="4" t="n">
        <f aca="false">Realistic!B70</f>
        <v>5636790.3178153</v>
      </c>
      <c r="D18" s="4" t="n">
        <f aca="false">Optimistic!B70</f>
        <v>34358621.3584257</v>
      </c>
    </row>
    <row r="19" customFormat="false" ht="15" hidden="false" customHeight="false" outlineLevel="0" collapsed="false">
      <c r="A19" s="0" t="s">
        <v>20</v>
      </c>
      <c r="B19" s="4" t="n">
        <f aca="false">Pessimistic!B71</f>
        <v>-15721232.5700206</v>
      </c>
      <c r="C19" s="4" t="n">
        <f aca="false">Realistic!B71</f>
        <v>17902988.227622</v>
      </c>
      <c r="D19" s="4" t="n">
        <f aca="false">Optimistic!B71</f>
        <v>77039665.1331129</v>
      </c>
    </row>
    <row r="20" customFormat="false" ht="15" hidden="false" customHeight="false" outlineLevel="0" collapsed="false">
      <c r="A20" s="0" t="s">
        <v>21</v>
      </c>
      <c r="B20" s="6" t="n">
        <f aca="false">Pessimistic!B72</f>
        <v>-1.04118645051765</v>
      </c>
      <c r="C20" s="6" t="n">
        <f aca="false">Realistic!B72</f>
        <v>3.640501651608</v>
      </c>
      <c r="D20" s="6" t="n">
        <f aca="false">Optimistic!B72</f>
        <v>13.8992723412598</v>
      </c>
    </row>
    <row r="21" customFormat="false" ht="15" hidden="false" customHeight="false" outlineLevel="0" collapsed="false">
      <c r="A21" s="0" t="s">
        <v>22</v>
      </c>
      <c r="B21" s="6" t="n">
        <f aca="false">Pessimistic!B73</f>
        <v>-1.41844276110588</v>
      </c>
      <c r="C21" s="6" t="n">
        <f aca="false">Realistic!B73</f>
        <v>8.861034499264</v>
      </c>
      <c r="D21" s="6" t="n">
        <f aca="false">Optimistic!B73</f>
        <v>36.1605321373039</v>
      </c>
    </row>
    <row r="22" customFormat="false" ht="15" hidden="false" customHeight="false" outlineLevel="0" collapsed="false">
      <c r="A22" s="0" t="s">
        <v>23</v>
      </c>
      <c r="B22" s="8" t="str">
        <f aca="false">Pessimistic!B74</f>
        <v>beyond Y7</v>
      </c>
      <c r="C22" s="8" t="str">
        <f aca="false">Realistic!B74</f>
        <v>Y4</v>
      </c>
      <c r="D22" s="8" t="str">
        <f aca="false">Optimistic!B74</f>
        <v>Y2</v>
      </c>
    </row>
    <row r="24" customFormat="false" ht="15" hidden="false" customHeight="false" outlineLevel="0" collapsed="false">
      <c r="A24" s="9" t="s">
        <v>24</v>
      </c>
    </row>
    <row r="25" customFormat="false" ht="15" hidden="false" customHeight="false" outlineLevel="0" collapsed="false">
      <c r="A25" s="0" t="s">
        <v>25</v>
      </c>
      <c r="B25" s="10" t="n">
        <f aca="false">SUM(Realistic!G7:G10)</f>
        <v>7401600</v>
      </c>
      <c r="C25" s="11" t="n">
        <f aca="false">B25/Realistic!G21</f>
        <v>0.454036725471138</v>
      </c>
    </row>
    <row r="26" customFormat="false" ht="15" hidden="false" customHeight="false" outlineLevel="0" collapsed="false">
      <c r="A26" s="0" t="s">
        <v>26</v>
      </c>
      <c r="B26" s="10" t="n">
        <f aca="false">SUM(Realistic!G11:G11)</f>
        <v>655680</v>
      </c>
      <c r="C26" s="11" t="n">
        <f aca="false">B26/Realistic!G21</f>
        <v>0.0402214116078842</v>
      </c>
    </row>
    <row r="27" customFormat="false" ht="15" hidden="false" customHeight="false" outlineLevel="0" collapsed="false">
      <c r="A27" s="0" t="s">
        <v>27</v>
      </c>
      <c r="B27" s="10" t="n">
        <f aca="false">SUM(Realistic!G12:G13)</f>
        <v>1259280</v>
      </c>
      <c r="C27" s="11" t="n">
        <f aca="false">B27/Realistic!G21</f>
        <v>0.077248077125391</v>
      </c>
    </row>
    <row r="28" customFormat="false" ht="15" hidden="false" customHeight="false" outlineLevel="0" collapsed="false">
      <c r="A28" s="0" t="s">
        <v>28</v>
      </c>
      <c r="B28" s="10" t="n">
        <f aca="false">SUM(Realistic!G14:G16)</f>
        <v>2421840</v>
      </c>
      <c r="C28" s="11" t="n">
        <f aca="false">B28/Realistic!G21</f>
        <v>0.148563054368653</v>
      </c>
    </row>
    <row r="29" customFormat="false" ht="15" hidden="false" customHeight="false" outlineLevel="0" collapsed="false">
      <c r="A29" s="0" t="s">
        <v>29</v>
      </c>
      <c r="B29" s="10" t="n">
        <f aca="false">SUM(Realistic!G17:G17)</f>
        <v>635040</v>
      </c>
      <c r="C29" s="11" t="n">
        <f aca="false">B29/Realistic!G21</f>
        <v>0.0389552910375042</v>
      </c>
    </row>
    <row r="30" customFormat="false" ht="15" hidden="false" customHeight="false" outlineLevel="0" collapsed="false">
      <c r="A30" s="0" t="s">
        <v>30</v>
      </c>
      <c r="B30" s="10" t="n">
        <f aca="false">SUM(Realistic!G18:G18)</f>
        <v>800000</v>
      </c>
      <c r="C30" s="11" t="n">
        <f aca="false">B30/Realistic!G21</f>
        <v>0.0490744407124014</v>
      </c>
    </row>
    <row r="31" customFormat="false" ht="15" hidden="false" customHeight="false" outlineLevel="0" collapsed="false">
      <c r="A31" s="0" t="s">
        <v>31</v>
      </c>
      <c r="B31" s="10" t="n">
        <f aca="false">SUM(Realistic!G19:G19)</f>
        <v>2295000</v>
      </c>
      <c r="C31" s="11" t="n">
        <f aca="false">B31/Realistic!G21</f>
        <v>0.140782301793702</v>
      </c>
    </row>
    <row r="32" customFormat="false" ht="15" hidden="false" customHeight="false" outlineLevel="0" collapsed="false">
      <c r="A32" s="0" t="s">
        <v>32</v>
      </c>
      <c r="B32" s="10" t="n">
        <f aca="false">SUM(Realistic!G20:G20)</f>
        <v>833325</v>
      </c>
      <c r="C32" s="11" t="n">
        <f aca="false">B32/Realistic!G21</f>
        <v>0.0511186978833274</v>
      </c>
    </row>
    <row r="34" customFormat="false" ht="15" hidden="false" customHeight="false" outlineLevel="0" collapsed="false">
      <c r="A34" s="9" t="s">
        <v>33</v>
      </c>
    </row>
    <row r="35" customFormat="false" ht="15" hidden="false" customHeight="false" outlineLevel="0" collapsed="false">
      <c r="A35" s="12" t="n">
        <v>0.1</v>
      </c>
      <c r="B35" s="10" t="n">
        <f aca="false">Pessimistic!B64+NPV($A35,Pessimistic!C64:I64)</f>
        <v>-16901823.4370638</v>
      </c>
      <c r="C35" s="10" t="n">
        <f aca="false">Realistic!B64+NPV($A35,Realistic!C64:I64)</f>
        <v>25020378.1124612</v>
      </c>
      <c r="D35" s="10" t="n">
        <f aca="false">Optimistic!B64+NPV($A35,Optimistic!C64:I64)</f>
        <v>100346511.23306</v>
      </c>
    </row>
    <row r="36" customFormat="false" ht="15" hidden="false" customHeight="false" outlineLevel="0" collapsed="false">
      <c r="A36" s="12" t="n">
        <v>0.12</v>
      </c>
      <c r="B36" s="10" t="n">
        <f aca="false">Pessimistic!B64+NPV($A36,Pessimistic!C64:I64)</f>
        <v>-16391701.2906319</v>
      </c>
      <c r="C36" s="10" t="n">
        <f aca="false">Realistic!B64+NPV($A36,Realistic!C64:I64)</f>
        <v>21892941.2420175</v>
      </c>
      <c r="D36" s="10" t="n">
        <f aca="false">Optimistic!B64+NPV($A36,Optimistic!C64:I64)</f>
        <v>90106001.9732146</v>
      </c>
    </row>
    <row r="37" customFormat="false" ht="15" hidden="false" customHeight="false" outlineLevel="0" collapsed="false">
      <c r="A37" s="12" t="n">
        <v>0.15</v>
      </c>
      <c r="B37" s="10" t="n">
        <f aca="false">Pessimistic!B64+NPV($A37,Pessimistic!C64:I64)</f>
        <v>-15721232.5700206</v>
      </c>
      <c r="C37" s="10" t="n">
        <f aca="false">Realistic!B64+NPV($A37,Realistic!C64:I64)</f>
        <v>17902988.227622</v>
      </c>
      <c r="D37" s="10" t="n">
        <f aca="false">Optimistic!B64+NPV($A37,Optimistic!C64:I64)</f>
        <v>77039665.1331129</v>
      </c>
    </row>
    <row r="38" customFormat="false" ht="15" hidden="false" customHeight="false" outlineLevel="0" collapsed="false">
      <c r="A38" s="12" t="n">
        <v>0.2</v>
      </c>
      <c r="B38" s="10" t="n">
        <f aca="false">Pessimistic!B64+NPV($A38,Pessimistic!C64:I64)</f>
        <v>-14806177.2844985</v>
      </c>
      <c r="C38" s="10" t="n">
        <f aca="false">Realistic!B64+NPV($A38,Realistic!C64:I64)</f>
        <v>12717475.91103</v>
      </c>
      <c r="D38" s="10" t="n">
        <f aca="false">Optimistic!B64+NPV($A38,Optimistic!C64:I64)</f>
        <v>60050437.1455505</v>
      </c>
    </row>
    <row r="39" customFormat="false" ht="15" hidden="false" customHeight="false" outlineLevel="0" collapsed="false">
      <c r="A39" s="12" t="n">
        <v>0.25</v>
      </c>
      <c r="B39" s="10" t="n">
        <f aca="false">Pessimistic!B64+NPV($A39,Pessimistic!C64:I64)</f>
        <v>-14082971.6656429</v>
      </c>
      <c r="C39" s="10" t="n">
        <f aca="false">Realistic!B64+NPV($A39,Realistic!C64:I64)</f>
        <v>8876500.09635729</v>
      </c>
      <c r="D39" s="10" t="n">
        <f aca="false">Optimistic!B64+NPV($A39,Optimistic!C64:I64)</f>
        <v>47453241.7658761</v>
      </c>
    </row>
    <row r="41" customFormat="false" ht="15" hidden="false" customHeight="false" outlineLevel="0" collapsed="false">
      <c r="A41" s="0" t="s">
        <v>34</v>
      </c>
      <c r="B41" s="10" t="n">
        <f aca="false">0.4*SUM(Pessimistic!C64:I64)</f>
        <v>-4822705.38776</v>
      </c>
      <c r="C41" s="10" t="n">
        <f aca="false">0.4*SUM(Realistic!C64:I64)</f>
        <v>22152586.24816</v>
      </c>
      <c r="D41" s="10" t="n">
        <f aca="false">0.4*SUM(Optimistic!C64:I64)</f>
        <v>73767485.5601</v>
      </c>
    </row>
    <row r="43" customFormat="false" ht="15" hidden="false" customHeight="true" outlineLevel="0" collapsed="false">
      <c r="A43" s="13" t="s">
        <v>35</v>
      </c>
      <c r="B43" s="13"/>
      <c r="C43" s="13"/>
      <c r="D43" s="13"/>
    </row>
    <row r="44" customFormat="false" ht="31.5" hidden="false" customHeight="true" outlineLevel="0" collapsed="false">
      <c r="A44" s="14" t="s">
        <v>36</v>
      </c>
      <c r="B44" s="14"/>
      <c r="C44" s="14"/>
      <c r="D44" s="14"/>
    </row>
    <row r="45" customFormat="false" ht="31.5" hidden="false" customHeight="true" outlineLevel="0" collapsed="false">
      <c r="A45" s="14" t="s">
        <v>37</v>
      </c>
      <c r="B45" s="14"/>
      <c r="C45" s="14"/>
      <c r="D45" s="14"/>
    </row>
    <row r="46" customFormat="false" ht="31.5" hidden="false" customHeight="true" outlineLevel="0" collapsed="false">
      <c r="A46" s="14" t="s">
        <v>38</v>
      </c>
      <c r="B46" s="14"/>
      <c r="C46" s="14"/>
      <c r="D46" s="14"/>
    </row>
    <row r="47" customFormat="false" ht="31.5" hidden="false" customHeight="true" outlineLevel="0" collapsed="false">
      <c r="A47" s="14" t="s">
        <v>39</v>
      </c>
      <c r="B47" s="14"/>
      <c r="C47" s="14"/>
      <c r="D47" s="14"/>
    </row>
    <row r="50" customFormat="false" ht="15" hidden="false" customHeight="false" outlineLevel="0" collapsed="false">
      <c r="A50" s="3" t="s">
        <v>40</v>
      </c>
      <c r="B50" s="15"/>
      <c r="C50" s="15"/>
      <c r="D50" s="15"/>
    </row>
    <row r="51" customFormat="false" ht="15" hidden="false" customHeight="false" outlineLevel="0" collapsed="false">
      <c r="A51" s="0" t="s">
        <v>41</v>
      </c>
      <c r="B51" s="16" t="n">
        <f aca="false">Rollout!F7</f>
        <v>20</v>
      </c>
      <c r="C51" s="16" t="n">
        <f aca="false">Rollout!F60</f>
        <v>50</v>
      </c>
      <c r="D51" s="16" t="n">
        <f aca="false">Rollout!F113</f>
        <v>100</v>
      </c>
    </row>
    <row r="52" customFormat="false" ht="15" hidden="false" customHeight="false" outlineLevel="0" collapsed="false">
      <c r="A52" s="0" t="s">
        <v>42</v>
      </c>
      <c r="B52" s="4" t="n">
        <f aca="false">Rollout!F29</f>
        <v>67317319</v>
      </c>
      <c r="C52" s="4" t="n">
        <f aca="false">Rollout!F82</f>
        <v>466230479</v>
      </c>
      <c r="D52" s="4" t="n">
        <f aca="false">Rollout!F135</f>
        <v>1747489694.9</v>
      </c>
    </row>
    <row r="53" customFormat="false" ht="15" hidden="false" customHeight="false" outlineLevel="0" collapsed="false">
      <c r="A53" s="0" t="s">
        <v>43</v>
      </c>
      <c r="B53" s="4" t="n">
        <f aca="false">Rollout!F33</f>
        <v>-13999422.509</v>
      </c>
      <c r="C53" s="4" t="n">
        <f aca="false">Rollout!F86</f>
        <v>121212337.28</v>
      </c>
      <c r="D53" s="4" t="n">
        <f aca="false">Rollout!F139</f>
        <v>744050790.64</v>
      </c>
    </row>
    <row r="54" customFormat="false" ht="15" hidden="false" customHeight="false" outlineLevel="0" collapsed="false">
      <c r="A54" s="0" t="s">
        <v>44</v>
      </c>
      <c r="B54" s="6" t="n">
        <f aca="false">Rollout!F34</f>
        <v>-0.20796167638524</v>
      </c>
      <c r="C54" s="6" t="n">
        <f aca="false">Rollout!F87</f>
        <v>0.259983726374955</v>
      </c>
      <c r="D54" s="6" t="n">
        <f aca="false">Rollout!F140</f>
        <v>0.42578264856811</v>
      </c>
    </row>
    <row r="55" customFormat="false" ht="15" hidden="false" customHeight="false" outlineLevel="0" collapsed="false">
      <c r="A55" s="0" t="s">
        <v>45</v>
      </c>
      <c r="B55" s="4" t="n">
        <f aca="false">Rollout!F41</f>
        <v>0</v>
      </c>
      <c r="C55" s="4" t="n">
        <f aca="false">Rollout!F94</f>
        <v>848486360.96</v>
      </c>
      <c r="D55" s="4" t="n">
        <f aca="false">Rollout!F147</f>
        <v>6696457115.76</v>
      </c>
    </row>
    <row r="56" customFormat="false" ht="15" hidden="false" customHeight="false" outlineLevel="0" collapsed="false">
      <c r="A56" s="0" t="s">
        <v>46</v>
      </c>
      <c r="B56" s="4" t="n">
        <f aca="false">Rollout!F43</f>
        <v>0</v>
      </c>
      <c r="C56" s="4" t="n">
        <f aca="false">Rollout!F96</f>
        <v>1661451680</v>
      </c>
      <c r="D56" s="4" t="n">
        <f aca="false">Rollout!F149</f>
        <v>10663195680</v>
      </c>
    </row>
    <row r="57" customFormat="false" ht="15" hidden="false" customHeight="false" outlineLevel="0" collapsed="false">
      <c r="A57" s="0" t="s">
        <v>47</v>
      </c>
      <c r="B57" s="4" t="n">
        <f aca="false">Rollout!F44</f>
        <v>80000000</v>
      </c>
      <c r="C57" s="4" t="n">
        <f aca="false">Rollout!F97</f>
        <v>200000000</v>
      </c>
      <c r="D57" s="4" t="n">
        <f aca="false">Rollout!F150</f>
        <v>400000000</v>
      </c>
    </row>
    <row r="58" customFormat="false" ht="15" hidden="false" customHeight="false" outlineLevel="0" collapsed="false">
      <c r="A58" s="0" t="s">
        <v>48</v>
      </c>
      <c r="B58" s="16" t="str">
        <f aca="false">Rollout!B48</f>
        <v>never on EBITDA</v>
      </c>
      <c r="C58" s="16" t="n">
        <f aca="false">Rollout!B101</f>
        <v>31</v>
      </c>
      <c r="D58" s="16" t="n">
        <f aca="false">Rollout!B154</f>
        <v>10</v>
      </c>
    </row>
    <row r="59" customFormat="false" ht="15" hidden="false" customHeight="false" outlineLevel="0" collapsed="false">
      <c r="A59" s="0" t="s">
        <v>49</v>
      </c>
      <c r="B59" s="16" t="str">
        <f aca="false">Rollout!B49</f>
        <v>never on EBITDA</v>
      </c>
      <c r="C59" s="16" t="n">
        <f aca="false">Rollout!B102</f>
        <v>297</v>
      </c>
      <c r="D59" s="16" t="n">
        <f aca="false">Rollout!B155</f>
        <v>94</v>
      </c>
    </row>
    <row r="60" customFormat="false" ht="15" hidden="false" customHeight="false" outlineLevel="0" collapsed="false">
      <c r="A60" s="0" t="s">
        <v>50</v>
      </c>
      <c r="B60" s="8" t="str">
        <f aca="false">Rollout!B52</f>
        <v>not by Y7</v>
      </c>
      <c r="C60" s="8" t="str">
        <f aca="false">Rollout!B105</f>
        <v>Y5</v>
      </c>
      <c r="D60" s="8" t="str">
        <f aca="false">Rollout!B158</f>
        <v>Y3</v>
      </c>
    </row>
    <row r="61" customFormat="false" ht="15" hidden="false" customHeight="false" outlineLevel="0" collapsed="false">
      <c r="A61" s="0" t="s">
        <v>51</v>
      </c>
      <c r="B61" s="8" t="str">
        <f aca="false">Rollout!B53</f>
        <v>not by Y7</v>
      </c>
      <c r="C61" s="8" t="str">
        <f aca="false">Rollout!B106</f>
        <v>not by Y7</v>
      </c>
      <c r="D61" s="8" t="str">
        <f aca="false">Rollout!B159</f>
        <v>Y5</v>
      </c>
    </row>
    <row r="62" customFormat="false" ht="15" hidden="false" customHeight="false" outlineLevel="0" collapsed="false">
      <c r="A62" s="0" t="s">
        <v>52</v>
      </c>
      <c r="B62" s="4" t="n">
        <f aca="false">Rollout!B54</f>
        <v>427314800.768</v>
      </c>
      <c r="C62" s="4" t="n">
        <f aca="false">Rollout!B107</f>
        <v>107367882.3</v>
      </c>
      <c r="D62" s="4" t="n">
        <f aca="false">Rollout!B160</f>
        <v>4604356.515</v>
      </c>
    </row>
    <row r="63" customFormat="false" ht="15" hidden="false" customHeight="false" outlineLevel="0" collapsed="false">
      <c r="A63" s="0" t="s">
        <v>53</v>
      </c>
      <c r="B63" s="4" t="n">
        <f aca="false">Rollout!H38</f>
        <v>-427314800.768</v>
      </c>
      <c r="C63" s="4" t="n">
        <f aca="false">Rollout!H91</f>
        <v>112538845.5</v>
      </c>
      <c r="D63" s="4" t="n">
        <f aca="false">Rollout!H144</f>
        <v>3508955779.21</v>
      </c>
    </row>
  </sheetData>
  <mergeCells count="5">
    <mergeCell ref="A43:D43"/>
    <mergeCell ref="A44:D44"/>
    <mergeCell ref="A45:D45"/>
    <mergeCell ref="A46:D46"/>
    <mergeCell ref="A47:D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6"/>
    <col collapsed="false" customWidth="true" hidden="false" outlineLevel="0" max="8" min="2" style="0" width="15"/>
    <col collapsed="false" customWidth="true" hidden="false" outlineLevel="0" max="9" min="9" style="0" width="80"/>
  </cols>
  <sheetData>
    <row r="1" customFormat="false" ht="16.15" hidden="false" customHeight="false" outlineLevel="0" collapsed="false">
      <c r="A1" s="1" t="s">
        <v>54</v>
      </c>
    </row>
    <row r="2" customFormat="false" ht="42" hidden="false" customHeight="true" outlineLevel="0" collapsed="false">
      <c r="A2" s="17" t="s">
        <v>55</v>
      </c>
      <c r="B2" s="17"/>
      <c r="C2" s="17"/>
      <c r="D2" s="17"/>
      <c r="E2" s="17"/>
      <c r="F2" s="17"/>
      <c r="G2" s="17"/>
      <c r="H2" s="17"/>
      <c r="I2" s="17"/>
      <c r="J2" s="17"/>
    </row>
    <row r="4" customFormat="false" ht="15" hidden="false" customHeight="false" outlineLevel="0" collapsed="false">
      <c r="A4" s="3" t="s">
        <v>56</v>
      </c>
      <c r="B4" s="15"/>
      <c r="C4" s="15"/>
      <c r="D4" s="15"/>
      <c r="E4" s="15"/>
      <c r="F4" s="15"/>
      <c r="G4" s="15"/>
      <c r="H4" s="15"/>
      <c r="I4" s="15"/>
      <c r="J4" s="15"/>
    </row>
    <row r="5" customFormat="false" ht="15" hidden="false" customHeight="false" outlineLevel="0" collapsed="false">
      <c r="A5" s="9" t="s">
        <v>57</v>
      </c>
      <c r="B5" s="18" t="s">
        <v>58</v>
      </c>
      <c r="C5" s="18" t="s">
        <v>59</v>
      </c>
      <c r="D5" s="18" t="s">
        <v>60</v>
      </c>
      <c r="E5" s="18" t="s">
        <v>61</v>
      </c>
      <c r="F5" s="18" t="s">
        <v>62</v>
      </c>
      <c r="G5" s="18" t="s">
        <v>63</v>
      </c>
      <c r="H5" s="18" t="s">
        <v>64</v>
      </c>
      <c r="I5" s="9" t="s">
        <v>65</v>
      </c>
    </row>
    <row r="6" customFormat="false" ht="15" hidden="false" customHeight="false" outlineLevel="0" collapsed="false">
      <c r="A6" s="0" t="s">
        <v>66</v>
      </c>
      <c r="B6" s="19" t="n">
        <v>1</v>
      </c>
      <c r="C6" s="19" t="n">
        <v>1</v>
      </c>
      <c r="D6" s="19" t="n">
        <v>3</v>
      </c>
      <c r="E6" s="19" t="n">
        <v>5</v>
      </c>
      <c r="F6" s="19" t="n">
        <v>10</v>
      </c>
      <c r="G6" s="19" t="n">
        <v>10</v>
      </c>
      <c r="H6" s="19" t="n">
        <v>10</v>
      </c>
      <c r="I6" s="20" t="s">
        <v>67</v>
      </c>
    </row>
    <row r="7" customFormat="false" ht="15" hidden="false" customHeight="false" outlineLevel="0" collapsed="false">
      <c r="A7" s="0" t="s">
        <v>68</v>
      </c>
      <c r="B7" s="21" t="n">
        <f aca="false">SUM($B$6:B6)</f>
        <v>1</v>
      </c>
      <c r="C7" s="21" t="n">
        <f aca="false">SUM($B$6:C6)</f>
        <v>2</v>
      </c>
      <c r="D7" s="21" t="n">
        <f aca="false">SUM($B$6:D6)</f>
        <v>5</v>
      </c>
      <c r="E7" s="21" t="n">
        <f aca="false">SUM($B$6:E6)</f>
        <v>10</v>
      </c>
      <c r="F7" s="21" t="n">
        <f aca="false">SUM($B$6:F6)</f>
        <v>20</v>
      </c>
      <c r="G7" s="21" t="n">
        <f aca="false">SUM($B$6:G6)</f>
        <v>30</v>
      </c>
      <c r="H7" s="21" t="n">
        <f aca="false">SUM($B$6:H6)</f>
        <v>40</v>
      </c>
    </row>
    <row r="8" customFormat="false" ht="15" hidden="false" customHeight="false" outlineLevel="0" collapsed="false">
      <c r="A8" s="0" t="s">
        <v>69</v>
      </c>
      <c r="B8" s="4" t="n">
        <f aca="false">Pessimistic!G21</f>
        <v>7277548</v>
      </c>
    </row>
    <row r="9" customFormat="false" ht="15" hidden="false" customHeight="false" outlineLevel="0" collapsed="false">
      <c r="A9" s="0" t="s">
        <v>70</v>
      </c>
      <c r="B9" s="4" t="n">
        <f aca="false">Pessimistic!G48+Pessimistic!G52</f>
        <v>540602.972</v>
      </c>
    </row>
    <row r="10" customFormat="false" ht="15" hidden="false" customHeight="false" outlineLevel="0" collapsed="false">
      <c r="A10" s="0" t="s">
        <v>71</v>
      </c>
      <c r="B10" s="4" t="n">
        <f aca="false">Assumptions!$B$110</f>
        <v>8500000</v>
      </c>
    </row>
    <row r="11" customFormat="false" ht="15" hidden="false" customHeight="false" outlineLevel="0" collapsed="false">
      <c r="A11" s="0" t="s">
        <v>72</v>
      </c>
      <c r="B11" s="22" t="n">
        <v>1</v>
      </c>
      <c r="I11" s="20" t="s">
        <v>73</v>
      </c>
    </row>
    <row r="12" customFormat="false" ht="15" hidden="false" customHeight="false" outlineLevel="0" collapsed="false">
      <c r="A12" s="0" t="s">
        <v>74</v>
      </c>
      <c r="B12" s="23" t="n">
        <v>3000000</v>
      </c>
      <c r="I12" s="20" t="s">
        <v>75</v>
      </c>
    </row>
    <row r="13" customFormat="false" ht="15" hidden="false" customHeight="false" outlineLevel="0" collapsed="false">
      <c r="A13" s="0" t="s">
        <v>76</v>
      </c>
      <c r="B13" s="23" t="n">
        <v>800000</v>
      </c>
      <c r="I13" s="20" t="s">
        <v>77</v>
      </c>
    </row>
    <row r="14" customFormat="false" ht="15" hidden="false" customHeight="false" outlineLevel="0" collapsed="false">
      <c r="A14" s="0" t="s">
        <v>78</v>
      </c>
      <c r="B14" s="19" t="n">
        <v>150</v>
      </c>
      <c r="I14" s="20" t="s">
        <v>79</v>
      </c>
    </row>
    <row r="15" customFormat="false" ht="15" hidden="false" customHeight="false" outlineLevel="0" collapsed="false">
      <c r="A15" s="0" t="s">
        <v>80</v>
      </c>
      <c r="B15" s="7" t="n">
        <f aca="false">Assumptions!$B$109</f>
        <v>5</v>
      </c>
    </row>
    <row r="16" customFormat="false" ht="15" hidden="false" customHeight="false" outlineLevel="0" collapsed="false">
      <c r="A16" s="0" t="s">
        <v>81</v>
      </c>
      <c r="B16" s="23" t="n">
        <v>4000000</v>
      </c>
      <c r="I16" s="20" t="s">
        <v>82</v>
      </c>
    </row>
    <row r="18" customFormat="false" ht="15" hidden="false" customHeight="false" outlineLevel="0" collapsed="false">
      <c r="A18" s="9" t="s">
        <v>83</v>
      </c>
    </row>
    <row r="19" customFormat="false" ht="15" hidden="false" customHeight="false" outlineLevel="0" collapsed="false">
      <c r="A19" s="0" t="s">
        <v>84</v>
      </c>
      <c r="B19" s="24" t="n">
        <f aca="false">B$6*Assumptions!$B$92</f>
        <v>0.3</v>
      </c>
      <c r="C19" s="24" t="n">
        <f aca="false">B$6*Assumptions!$B$93</f>
        <v>0.5</v>
      </c>
      <c r="D19" s="24" t="n">
        <f aca="false">B$6*Assumptions!$B$94</f>
        <v>0.65</v>
      </c>
      <c r="E19" s="24" t="n">
        <f aca="false">B$6*Assumptions!$B$95</f>
        <v>0.8</v>
      </c>
      <c r="F19" s="24" t="n">
        <f aca="false">B$6*Assumptions!$B$96</f>
        <v>1</v>
      </c>
      <c r="G19" s="24" t="n">
        <f aca="false">B$6*Assumptions!$B$96</f>
        <v>1</v>
      </c>
      <c r="H19" s="24" t="n">
        <f aca="false">B$6*Assumptions!$B$96</f>
        <v>1</v>
      </c>
    </row>
    <row r="20" customFormat="false" ht="15" hidden="false" customHeight="false" outlineLevel="0" collapsed="false">
      <c r="A20" s="0" t="s">
        <v>85</v>
      </c>
      <c r="B20" s="24" t="n">
        <f aca="false">0</f>
        <v>0</v>
      </c>
      <c r="C20" s="24" t="n">
        <f aca="false">C$6*Assumptions!$B$92</f>
        <v>0.3</v>
      </c>
      <c r="D20" s="24" t="n">
        <f aca="false">C$6*Assumptions!$B$93</f>
        <v>0.5</v>
      </c>
      <c r="E20" s="24" t="n">
        <f aca="false">C$6*Assumptions!$B$94</f>
        <v>0.65</v>
      </c>
      <c r="F20" s="24" t="n">
        <f aca="false">C$6*Assumptions!$B$95</f>
        <v>0.8</v>
      </c>
      <c r="G20" s="24" t="n">
        <f aca="false">C$6*Assumptions!$B$96</f>
        <v>1</v>
      </c>
      <c r="H20" s="24" t="n">
        <f aca="false">C$6*Assumptions!$B$96</f>
        <v>1</v>
      </c>
    </row>
    <row r="21" customFormat="false" ht="15" hidden="false" customHeight="false" outlineLevel="0" collapsed="false">
      <c r="A21" s="0" t="s">
        <v>86</v>
      </c>
      <c r="B21" s="24" t="n">
        <f aca="false">0</f>
        <v>0</v>
      </c>
      <c r="C21" s="24" t="n">
        <f aca="false">0</f>
        <v>0</v>
      </c>
      <c r="D21" s="24" t="n">
        <f aca="false">D$6*Assumptions!$B$92</f>
        <v>0.9</v>
      </c>
      <c r="E21" s="24" t="n">
        <f aca="false">D$6*Assumptions!$B$93</f>
        <v>1.5</v>
      </c>
      <c r="F21" s="24" t="n">
        <f aca="false">D$6*Assumptions!$B$94</f>
        <v>1.95</v>
      </c>
      <c r="G21" s="24" t="n">
        <f aca="false">D$6*Assumptions!$B$95</f>
        <v>2.4</v>
      </c>
      <c r="H21" s="24" t="n">
        <f aca="false">D$6*Assumptions!$B$96</f>
        <v>3</v>
      </c>
    </row>
    <row r="22" customFormat="false" ht="15" hidden="false" customHeight="false" outlineLevel="0" collapsed="false">
      <c r="A22" s="0" t="s">
        <v>87</v>
      </c>
      <c r="B22" s="24" t="n">
        <f aca="false">0</f>
        <v>0</v>
      </c>
      <c r="C22" s="24" t="n">
        <f aca="false">0</f>
        <v>0</v>
      </c>
      <c r="D22" s="24" t="n">
        <f aca="false">0</f>
        <v>0</v>
      </c>
      <c r="E22" s="24" t="n">
        <f aca="false">E$6*Assumptions!$B$92</f>
        <v>1.5</v>
      </c>
      <c r="F22" s="24" t="n">
        <f aca="false">E$6*Assumptions!$B$93</f>
        <v>2.5</v>
      </c>
      <c r="G22" s="24" t="n">
        <f aca="false">E$6*Assumptions!$B$94</f>
        <v>3.25</v>
      </c>
      <c r="H22" s="24" t="n">
        <f aca="false">E$6*Assumptions!$B$95</f>
        <v>4</v>
      </c>
    </row>
    <row r="23" customFormat="false" ht="15" hidden="false" customHeight="false" outlineLevel="0" collapsed="false">
      <c r="A23" s="0" t="s">
        <v>88</v>
      </c>
      <c r="B23" s="24" t="n">
        <f aca="false">0</f>
        <v>0</v>
      </c>
      <c r="C23" s="24" t="n">
        <f aca="false">0</f>
        <v>0</v>
      </c>
      <c r="D23" s="24" t="n">
        <f aca="false">0</f>
        <v>0</v>
      </c>
      <c r="E23" s="24" t="n">
        <f aca="false">0</f>
        <v>0</v>
      </c>
      <c r="F23" s="24" t="n">
        <f aca="false">F$6*Assumptions!$B$92</f>
        <v>3</v>
      </c>
      <c r="G23" s="24" t="n">
        <f aca="false">F$6*Assumptions!$B$93</f>
        <v>5</v>
      </c>
      <c r="H23" s="24" t="n">
        <f aca="false">F$6*Assumptions!$B$94</f>
        <v>6.5</v>
      </c>
    </row>
    <row r="24" customFormat="false" ht="15" hidden="false" customHeight="false" outlineLevel="0" collapsed="false">
      <c r="A24" s="0" t="s">
        <v>89</v>
      </c>
      <c r="B24" s="24" t="n">
        <f aca="false">0</f>
        <v>0</v>
      </c>
      <c r="C24" s="24" t="n">
        <f aca="false">0</f>
        <v>0</v>
      </c>
      <c r="D24" s="24" t="n">
        <f aca="false">0</f>
        <v>0</v>
      </c>
      <c r="E24" s="24" t="n">
        <f aca="false">0</f>
        <v>0</v>
      </c>
      <c r="F24" s="24" t="n">
        <f aca="false">0</f>
        <v>0</v>
      </c>
      <c r="G24" s="24" t="n">
        <f aca="false">G$6*Assumptions!$B$92</f>
        <v>3</v>
      </c>
      <c r="H24" s="24" t="n">
        <f aca="false">G$6*Assumptions!$B$93</f>
        <v>5</v>
      </c>
    </row>
    <row r="25" customFormat="false" ht="15" hidden="false" customHeight="false" outlineLevel="0" collapsed="false">
      <c r="A25" s="0" t="s">
        <v>90</v>
      </c>
      <c r="B25" s="24" t="n">
        <f aca="false">0</f>
        <v>0</v>
      </c>
      <c r="C25" s="24" t="n">
        <f aca="false">0</f>
        <v>0</v>
      </c>
      <c r="D25" s="24" t="n">
        <f aca="false">0</f>
        <v>0</v>
      </c>
      <c r="E25" s="24" t="n">
        <f aca="false">0</f>
        <v>0</v>
      </c>
      <c r="F25" s="24" t="n">
        <f aca="false">0</f>
        <v>0</v>
      </c>
      <c r="G25" s="24" t="n">
        <f aca="false">0</f>
        <v>0</v>
      </c>
      <c r="H25" s="24" t="n">
        <f aca="false">H$6*Assumptions!$B$92</f>
        <v>3</v>
      </c>
    </row>
    <row r="26" customFormat="false" ht="15" hidden="false" customHeight="false" outlineLevel="0" collapsed="false">
      <c r="A26" s="9" t="s">
        <v>91</v>
      </c>
      <c r="B26" s="25" t="n">
        <f aca="false">SUM(B19:B25)</f>
        <v>0.3</v>
      </c>
      <c r="C26" s="25" t="n">
        <f aca="false">SUM(C19:C25)</f>
        <v>0.8</v>
      </c>
      <c r="D26" s="25" t="n">
        <f aca="false">SUM(D19:D25)</f>
        <v>2.05</v>
      </c>
      <c r="E26" s="25" t="n">
        <f aca="false">SUM(E19:E25)</f>
        <v>4.45</v>
      </c>
      <c r="F26" s="25" t="n">
        <f aca="false">SUM(F19:F25)</f>
        <v>9.25</v>
      </c>
      <c r="G26" s="25" t="n">
        <f aca="false">SUM(G19:G25)</f>
        <v>15.65</v>
      </c>
      <c r="H26" s="25" t="n">
        <f aca="false">SUM(H19:H25)</f>
        <v>23.5</v>
      </c>
    </row>
    <row r="28" customFormat="false" ht="15" hidden="false" customHeight="false" outlineLevel="0" collapsed="false">
      <c r="A28" s="9" t="s">
        <v>92</v>
      </c>
    </row>
    <row r="29" customFormat="false" ht="15" hidden="false" customHeight="false" outlineLevel="0" collapsed="false">
      <c r="A29" s="9" t="s">
        <v>93</v>
      </c>
      <c r="B29" s="26" t="n">
        <f aca="false">B26*$B$8</f>
        <v>2183264.4</v>
      </c>
      <c r="C29" s="26" t="n">
        <f aca="false">C26*$B$8</f>
        <v>5822038.4</v>
      </c>
      <c r="D29" s="26" t="n">
        <f aca="false">D26*$B$8</f>
        <v>14918973.4</v>
      </c>
      <c r="E29" s="26" t="n">
        <f aca="false">E26*$B$8</f>
        <v>32385088.6</v>
      </c>
      <c r="F29" s="26" t="n">
        <f aca="false">F26*$B$8</f>
        <v>67317319</v>
      </c>
      <c r="G29" s="26" t="n">
        <f aca="false">G26*$B$8</f>
        <v>113893626.2</v>
      </c>
      <c r="H29" s="26" t="n">
        <f aca="false">H26*$B$8</f>
        <v>171022378</v>
      </c>
    </row>
    <row r="30" customFormat="false" ht="15" hidden="false" customHeight="false" outlineLevel="0" collapsed="false">
      <c r="A30" s="27" t="s">
        <v>94</v>
      </c>
      <c r="B30" s="28" t="n">
        <f aca="false">B26*$B$9</f>
        <v>162180.8916</v>
      </c>
      <c r="C30" s="28" t="n">
        <f aca="false">C26*$B$9</f>
        <v>432482.3776</v>
      </c>
      <c r="D30" s="28" t="n">
        <f aca="false">D26*$B$9</f>
        <v>1108236.0926</v>
      </c>
      <c r="E30" s="28" t="n">
        <f aca="false">E26*$B$9</f>
        <v>2405683.2254</v>
      </c>
      <c r="F30" s="28" t="n">
        <f aca="false">F26*$B$9</f>
        <v>5000577.491</v>
      </c>
      <c r="G30" s="28" t="n">
        <f aca="false">G26*$B$9</f>
        <v>8460436.5118</v>
      </c>
      <c r="H30" s="28" t="n">
        <f aca="false">H26*$B$9</f>
        <v>12704169.842</v>
      </c>
    </row>
    <row r="31" customFormat="false" ht="15" hidden="false" customHeight="false" outlineLevel="0" collapsed="false">
      <c r="A31" s="27" t="s">
        <v>95</v>
      </c>
      <c r="B31" s="28" t="n">
        <f aca="false">-B7*$B$13</f>
        <v>-800000</v>
      </c>
      <c r="C31" s="28" t="n">
        <f aca="false">-C7*$B$13</f>
        <v>-1600000</v>
      </c>
      <c r="D31" s="28" t="n">
        <f aca="false">-D7*$B$13</f>
        <v>-4000000</v>
      </c>
      <c r="E31" s="28" t="n">
        <f aca="false">-E7*$B$13</f>
        <v>-8000000</v>
      </c>
      <c r="F31" s="28" t="n">
        <f aca="false">-F7*$B$13</f>
        <v>-16000000</v>
      </c>
      <c r="G31" s="28" t="n">
        <f aca="false">-G7*$B$13</f>
        <v>-24000000</v>
      </c>
      <c r="H31" s="28" t="n">
        <f aca="false">-H7*$B$13</f>
        <v>-32000000</v>
      </c>
    </row>
    <row r="32" customFormat="false" ht="15" hidden="false" customHeight="false" outlineLevel="0" collapsed="false">
      <c r="A32" s="27" t="s">
        <v>96</v>
      </c>
      <c r="B32" s="28" t="n">
        <f aca="false">-$B$12</f>
        <v>-3000000</v>
      </c>
      <c r="C32" s="28" t="n">
        <f aca="false">-$B$12</f>
        <v>-3000000</v>
      </c>
      <c r="D32" s="28" t="n">
        <f aca="false">-$B$12</f>
        <v>-3000000</v>
      </c>
      <c r="E32" s="28" t="n">
        <f aca="false">-$B$12</f>
        <v>-3000000</v>
      </c>
      <c r="F32" s="28" t="n">
        <f aca="false">-$B$12</f>
        <v>-3000000</v>
      </c>
      <c r="G32" s="28" t="n">
        <f aca="false">-$B$12</f>
        <v>-3000000</v>
      </c>
      <c r="H32" s="28" t="n">
        <f aca="false">-$B$12</f>
        <v>-3000000</v>
      </c>
    </row>
    <row r="33" customFormat="false" ht="15" hidden="false" customHeight="false" outlineLevel="0" collapsed="false">
      <c r="A33" s="9" t="s">
        <v>97</v>
      </c>
      <c r="B33" s="26" t="n">
        <f aca="false">B30+B31+B32</f>
        <v>-3637819.1084</v>
      </c>
      <c r="C33" s="26" t="n">
        <f aca="false">C30+C31+C32</f>
        <v>-4167517.6224</v>
      </c>
      <c r="D33" s="26" t="n">
        <f aca="false">D30+D31+D32</f>
        <v>-5891763.9074</v>
      </c>
      <c r="E33" s="26" t="n">
        <f aca="false">E30+E31+E32</f>
        <v>-8594316.7746</v>
      </c>
      <c r="F33" s="26" t="n">
        <f aca="false">F30+F31+F32</f>
        <v>-13999422.509</v>
      </c>
      <c r="G33" s="26" t="n">
        <f aca="false">G30+G31+G32</f>
        <v>-18539563.4882</v>
      </c>
      <c r="H33" s="26" t="n">
        <f aca="false">H30+H31+H32</f>
        <v>-22295830.158</v>
      </c>
    </row>
    <row r="34" customFormat="false" ht="15" hidden="false" customHeight="false" outlineLevel="0" collapsed="false">
      <c r="A34" s="27" t="s">
        <v>98</v>
      </c>
      <c r="B34" s="29" t="n">
        <f aca="false">IF(B29=0,0,B33/B29)</f>
        <v>-1.66622929792654</v>
      </c>
      <c r="C34" s="29" t="n">
        <f aca="false">IF(C29=0,0,C33/C29)</f>
        <v>-0.71581761164612</v>
      </c>
      <c r="D34" s="29" t="n">
        <f aca="false">IF(D29=0,0,D33/D29)</f>
        <v>-0.39491751539687</v>
      </c>
      <c r="E34" s="29" t="n">
        <f aca="false">IF(E29=0,0,E33/E29)</f>
        <v>-0.265378825444992</v>
      </c>
      <c r="F34" s="29" t="n">
        <f aca="false">IF(F29=0,0,F33/F29)</f>
        <v>-0.20796167638524</v>
      </c>
      <c r="G34" s="29" t="n">
        <f aca="false">IF(G29=0,0,G33/G29)</f>
        <v>-0.162779640149872</v>
      </c>
      <c r="H34" s="29" t="n">
        <f aca="false">IF(H29=0,0,H33/H29)</f>
        <v>-0.130367911022732</v>
      </c>
    </row>
    <row r="35" customFormat="false" ht="15" hidden="false" customHeight="false" outlineLevel="0" collapsed="false">
      <c r="A35" s="27" t="s">
        <v>99</v>
      </c>
      <c r="B35" s="28" t="n">
        <f aca="false">-B29*Assumptions!$B$91</f>
        <v>-54581.61</v>
      </c>
      <c r="C35" s="28" t="n">
        <f aca="false">-C29*Assumptions!$B$91</f>
        <v>-145550.96</v>
      </c>
      <c r="D35" s="28" t="n">
        <f aca="false">-D29*Assumptions!$B$91</f>
        <v>-372974.335</v>
      </c>
      <c r="E35" s="28" t="n">
        <f aca="false">-E29*Assumptions!$B$91</f>
        <v>-809627.215</v>
      </c>
      <c r="F35" s="28" t="n">
        <f aca="false">-F29*Assumptions!$B$91</f>
        <v>-1682932.975</v>
      </c>
      <c r="G35" s="28" t="n">
        <f aca="false">-G29*Assumptions!$B$91</f>
        <v>-2847340.655</v>
      </c>
      <c r="H35" s="28" t="n">
        <f aca="false">-H29*Assumptions!$B$91</f>
        <v>-4275559.45</v>
      </c>
    </row>
    <row r="36" customFormat="false" ht="15" hidden="false" customHeight="false" outlineLevel="0" collapsed="false">
      <c r="A36" s="27" t="s">
        <v>100</v>
      </c>
      <c r="B36" s="28" t="n">
        <f aca="false">-B6*$B$10*IF(B7&lt;=2,1,$B$11)</f>
        <v>-8500000</v>
      </c>
      <c r="C36" s="28" t="n">
        <f aca="false">-C6*$B$10*IF(C7&lt;=2,1,$B$11)</f>
        <v>-8500000</v>
      </c>
      <c r="D36" s="28" t="n">
        <f aca="false">-D6*$B$10*IF(D7&lt;=2,1,$B$11)</f>
        <v>-25500000</v>
      </c>
      <c r="E36" s="28" t="n">
        <f aca="false">-E6*$B$10*IF(E7&lt;=2,1,$B$11)</f>
        <v>-42500000</v>
      </c>
      <c r="F36" s="28" t="n">
        <f aca="false">-F6*$B$10*IF(F7&lt;=2,1,$B$11)</f>
        <v>-85000000</v>
      </c>
      <c r="G36" s="28" t="n">
        <f aca="false">-G6*$B$10*IF(G7&lt;=2,1,$B$11)</f>
        <v>-85000000</v>
      </c>
      <c r="H36" s="28" t="n">
        <f aca="false">-H6*$B$10*IF(H7&lt;=2,1,$B$11)</f>
        <v>-85000000</v>
      </c>
    </row>
    <row r="37" customFormat="false" ht="15" hidden="false" customHeight="false" outlineLevel="0" collapsed="false">
      <c r="A37" s="9" t="s">
        <v>101</v>
      </c>
      <c r="B37" s="26" t="n">
        <f aca="false">B33+B35+B36</f>
        <v>-12192400.7184</v>
      </c>
      <c r="C37" s="26" t="n">
        <f aca="false">C33+C35+C36</f>
        <v>-12813068.5824</v>
      </c>
      <c r="D37" s="26" t="n">
        <f aca="false">D33+D35+D36</f>
        <v>-31764738.2424</v>
      </c>
      <c r="E37" s="26" t="n">
        <f aca="false">E33+E35+E36</f>
        <v>-51903943.9896</v>
      </c>
      <c r="F37" s="26" t="n">
        <f aca="false">F33+F35+F36</f>
        <v>-100682355.484</v>
      </c>
      <c r="G37" s="26" t="n">
        <f aca="false">G33+G35+G36</f>
        <v>-106386904.1432</v>
      </c>
      <c r="H37" s="26" t="n">
        <f aca="false">H33+H35+H36</f>
        <v>-111571389.608</v>
      </c>
    </row>
    <row r="38" customFormat="false" ht="15" hidden="false" customHeight="false" outlineLevel="0" collapsed="false">
      <c r="A38" s="27" t="s">
        <v>102</v>
      </c>
      <c r="B38" s="28" t="n">
        <f aca="false">B37</f>
        <v>-12192400.7184</v>
      </c>
      <c r="C38" s="28" t="n">
        <f aca="false">B38+C37</f>
        <v>-25005469.3008</v>
      </c>
      <c r="D38" s="28" t="n">
        <f aca="false">C38+D37</f>
        <v>-56770207.5432</v>
      </c>
      <c r="E38" s="28" t="n">
        <f aca="false">D38+E37</f>
        <v>-108674151.5328</v>
      </c>
      <c r="F38" s="28" t="n">
        <f aca="false">E38+F37</f>
        <v>-209356507.0168</v>
      </c>
      <c r="G38" s="28" t="n">
        <f aca="false">F38+G37</f>
        <v>-315743411.16</v>
      </c>
      <c r="H38" s="28" t="n">
        <f aca="false">G38+H37</f>
        <v>-427314800.768</v>
      </c>
    </row>
    <row r="40" customFormat="false" ht="15" hidden="false" customHeight="false" outlineLevel="0" collapsed="false">
      <c r="A40" s="9" t="s">
        <v>103</v>
      </c>
    </row>
    <row r="41" customFormat="false" ht="15" hidden="false" customHeight="false" outlineLevel="0" collapsed="false">
      <c r="A41" s="9" t="s">
        <v>104</v>
      </c>
      <c r="B41" s="26" t="n">
        <f aca="false">MAX(0,B33)*$B$15</f>
        <v>0</v>
      </c>
      <c r="C41" s="26" t="n">
        <f aca="false">MAX(0,C33)*$B$15</f>
        <v>0</v>
      </c>
      <c r="D41" s="26" t="n">
        <f aca="false">MAX(0,D33)*$B$15</f>
        <v>0</v>
      </c>
      <c r="E41" s="26" t="n">
        <f aca="false">MAX(0,E33)*$B$15</f>
        <v>0</v>
      </c>
      <c r="F41" s="26" t="n">
        <f aca="false">MAX(0,F33)*$B$15</f>
        <v>0</v>
      </c>
      <c r="G41" s="26" t="n">
        <f aca="false">MAX(0,G33)*$B$15</f>
        <v>0</v>
      </c>
      <c r="H41" s="26" t="n">
        <f aca="false">MAX(0,H33)*$B$15</f>
        <v>0</v>
      </c>
    </row>
    <row r="42" customFormat="false" ht="15" hidden="false" customHeight="false" outlineLevel="0" collapsed="false">
      <c r="A42" s="27" t="s">
        <v>105</v>
      </c>
      <c r="B42" s="28" t="n">
        <f aca="false">B7*($B$9-$B$13)-$B$12</f>
        <v>-3259397.028</v>
      </c>
      <c r="C42" s="28" t="n">
        <f aca="false">C7*($B$9-$B$13)-$B$12</f>
        <v>-3518794.056</v>
      </c>
      <c r="D42" s="28" t="n">
        <f aca="false">D7*($B$9-$B$13)-$B$12</f>
        <v>-4296985.14</v>
      </c>
      <c r="E42" s="28" t="n">
        <f aca="false">E7*($B$9-$B$13)-$B$12</f>
        <v>-5593970.28</v>
      </c>
      <c r="F42" s="28" t="n">
        <f aca="false">F7*($B$9-$B$13)-$B$12</f>
        <v>-8187940.56</v>
      </c>
      <c r="G42" s="28" t="n">
        <f aca="false">G7*($B$9-$B$13)-$B$12</f>
        <v>-10781910.84</v>
      </c>
      <c r="H42" s="28" t="n">
        <f aca="false">H7*($B$9-$B$13)-$B$12</f>
        <v>-13375881.12</v>
      </c>
    </row>
    <row r="43" customFormat="false" ht="15" hidden="false" customHeight="false" outlineLevel="0" collapsed="false">
      <c r="A43" s="9" t="s">
        <v>106</v>
      </c>
      <c r="B43" s="26" t="n">
        <f aca="false">MAX(0,B42)*$B$15</f>
        <v>0</v>
      </c>
      <c r="C43" s="26" t="n">
        <f aca="false">MAX(0,C42)*$B$15</f>
        <v>0</v>
      </c>
      <c r="D43" s="26" t="n">
        <f aca="false">MAX(0,D42)*$B$15</f>
        <v>0</v>
      </c>
      <c r="E43" s="26" t="n">
        <f aca="false">MAX(0,E42)*$B$15</f>
        <v>0</v>
      </c>
      <c r="F43" s="26" t="n">
        <f aca="false">MAX(0,F42)*$B$15</f>
        <v>0</v>
      </c>
      <c r="G43" s="26" t="n">
        <f aca="false">MAX(0,G42)*$B$15</f>
        <v>0</v>
      </c>
      <c r="H43" s="26" t="n">
        <f aca="false">MAX(0,H42)*$B$15</f>
        <v>0</v>
      </c>
    </row>
    <row r="44" customFormat="false" ht="15" hidden="false" customHeight="false" outlineLevel="0" collapsed="false">
      <c r="A44" s="27" t="s">
        <v>107</v>
      </c>
      <c r="B44" s="28" t="n">
        <f aca="false">B7*$B$16</f>
        <v>4000000</v>
      </c>
      <c r="C44" s="28" t="n">
        <f aca="false">C7*$B$16</f>
        <v>8000000</v>
      </c>
      <c r="D44" s="28" t="n">
        <f aca="false">D7*$B$16</f>
        <v>20000000</v>
      </c>
      <c r="E44" s="28" t="n">
        <f aca="false">E7*$B$16</f>
        <v>40000000</v>
      </c>
      <c r="F44" s="28" t="n">
        <f aca="false">F7*$B$16</f>
        <v>80000000</v>
      </c>
      <c r="G44" s="28" t="n">
        <f aca="false">G7*$B$16</f>
        <v>120000000</v>
      </c>
      <c r="H44" s="28" t="n">
        <f aca="false">H7*$B$16</f>
        <v>160000000</v>
      </c>
    </row>
    <row r="46" customFormat="false" ht="15" hidden="false" customHeight="false" outlineLevel="0" collapsed="false">
      <c r="A46" s="9" t="s">
        <v>108</v>
      </c>
    </row>
    <row r="47" customFormat="false" ht="15" hidden="false" customHeight="false" outlineLevel="0" collapsed="false">
      <c r="A47" s="0" t="s">
        <v>109</v>
      </c>
      <c r="B47" s="10" t="n">
        <f aca="false">$B$9-$B$13</f>
        <v>-259397.028</v>
      </c>
    </row>
    <row r="48" customFormat="false" ht="15" hidden="false" customHeight="false" outlineLevel="0" collapsed="false">
      <c r="A48" s="0" t="s">
        <v>110</v>
      </c>
      <c r="B48" s="30" t="str">
        <f aca="false">IF(B47&lt;=0,"never on EBITDA",ROUNDUP((1000000000/$B$15+$B$12)/B47,0))</f>
        <v>never on EBITDA</v>
      </c>
    </row>
    <row r="49" customFormat="false" ht="15" hidden="false" customHeight="false" outlineLevel="0" collapsed="false">
      <c r="A49" s="0" t="s">
        <v>111</v>
      </c>
      <c r="B49" s="30" t="str">
        <f aca="false">IF(B47&lt;=0,"never on EBITDA",ROUNDUP((10000000000/$B$15+$B$12)/B47,0))</f>
        <v>never on EBITDA</v>
      </c>
    </row>
    <row r="50" customFormat="false" ht="15" hidden="false" customHeight="false" outlineLevel="0" collapsed="false">
      <c r="A50" s="0" t="s">
        <v>112</v>
      </c>
      <c r="B50" s="21" t="n">
        <f aca="false">ROUNDUP(1000000000/$B$16,0)</f>
        <v>250</v>
      </c>
    </row>
    <row r="51" customFormat="false" ht="15" hidden="false" customHeight="false" outlineLevel="0" collapsed="false">
      <c r="A51" s="0" t="s">
        <v>113</v>
      </c>
      <c r="B51" s="0" t="str">
        <f aca="false">IF(ISNUMBER(B49),IF(B49&gt;$B$14,"exceeds pool — needs "&amp;B49&amp;" boxes vs "&amp;$B$14,"within pool"),"n/a")</f>
        <v>n/a</v>
      </c>
    </row>
    <row r="52" customFormat="false" ht="15" hidden="false" customHeight="false" outlineLevel="0" collapsed="false">
      <c r="A52" s="0" t="s">
        <v>50</v>
      </c>
      <c r="B52" s="0" t="str">
        <f aca="false">IFERROR(INDEX($B$5:$H$5,MATCH(TRUE(),INDEX(B43:H43&gt;=1000000000,0),0)),"not by Y7")</f>
        <v>not by Y7</v>
      </c>
    </row>
    <row r="53" customFormat="false" ht="15" hidden="false" customHeight="false" outlineLevel="0" collapsed="false">
      <c r="A53" s="0" t="s">
        <v>51</v>
      </c>
      <c r="B53" s="0" t="str">
        <f aca="false">IFERROR(INDEX($B$5:$H$5,MATCH(TRUE(),INDEX(B43:H43&gt;=10000000000,0),0)),"not by Y7")</f>
        <v>not by Y7</v>
      </c>
    </row>
    <row r="54" customFormat="false" ht="15" hidden="false" customHeight="false" outlineLevel="0" collapsed="false">
      <c r="A54" s="0" t="s">
        <v>114</v>
      </c>
      <c r="B54" s="10" t="n">
        <f aca="false">-MIN(B38:H38)</f>
        <v>427314800.768</v>
      </c>
    </row>
    <row r="57" customFormat="false" ht="15" hidden="false" customHeight="false" outlineLevel="0" collapsed="false">
      <c r="A57" s="3" t="s">
        <v>115</v>
      </c>
      <c r="B57" s="15"/>
      <c r="C57" s="15"/>
      <c r="D57" s="15"/>
      <c r="E57" s="15"/>
      <c r="F57" s="15"/>
      <c r="G57" s="15"/>
      <c r="H57" s="15"/>
      <c r="I57" s="15"/>
      <c r="J57" s="15"/>
    </row>
    <row r="58" customFormat="false" ht="15" hidden="false" customHeight="false" outlineLevel="0" collapsed="false">
      <c r="A58" s="9" t="s">
        <v>57</v>
      </c>
      <c r="B58" s="18" t="s">
        <v>58</v>
      </c>
      <c r="C58" s="18" t="s">
        <v>59</v>
      </c>
      <c r="D58" s="18" t="s">
        <v>60</v>
      </c>
      <c r="E58" s="18" t="s">
        <v>61</v>
      </c>
      <c r="F58" s="18" t="s">
        <v>62</v>
      </c>
      <c r="G58" s="18" t="s">
        <v>63</v>
      </c>
      <c r="H58" s="18" t="s">
        <v>64</v>
      </c>
      <c r="I58" s="9" t="s">
        <v>65</v>
      </c>
    </row>
    <row r="59" customFormat="false" ht="15" hidden="false" customHeight="false" outlineLevel="0" collapsed="false">
      <c r="A59" s="0" t="s">
        <v>66</v>
      </c>
      <c r="B59" s="19" t="n">
        <v>1</v>
      </c>
      <c r="C59" s="19" t="n">
        <v>2</v>
      </c>
      <c r="D59" s="19" t="n">
        <v>7</v>
      </c>
      <c r="E59" s="19" t="n">
        <v>15</v>
      </c>
      <c r="F59" s="19" t="n">
        <v>25</v>
      </c>
      <c r="G59" s="19" t="n">
        <v>25</v>
      </c>
      <c r="H59" s="19" t="n">
        <v>25</v>
      </c>
      <c r="I59" s="20" t="s">
        <v>116</v>
      </c>
    </row>
    <row r="60" customFormat="false" ht="15" hidden="false" customHeight="false" outlineLevel="0" collapsed="false">
      <c r="A60" s="0" t="s">
        <v>68</v>
      </c>
      <c r="B60" s="21" t="n">
        <f aca="false">SUM($B$59:B59)</f>
        <v>1</v>
      </c>
      <c r="C60" s="21" t="n">
        <f aca="false">SUM($B$59:C59)</f>
        <v>3</v>
      </c>
      <c r="D60" s="21" t="n">
        <f aca="false">SUM($B$59:D59)</f>
        <v>10</v>
      </c>
      <c r="E60" s="21" t="n">
        <f aca="false">SUM($B$59:E59)</f>
        <v>25</v>
      </c>
      <c r="F60" s="21" t="n">
        <f aca="false">SUM($B$59:F59)</f>
        <v>50</v>
      </c>
      <c r="G60" s="21" t="n">
        <f aca="false">SUM($B$59:G59)</f>
        <v>75</v>
      </c>
      <c r="H60" s="21" t="n">
        <f aca="false">SUM($B$59:H59)</f>
        <v>100</v>
      </c>
    </row>
    <row r="61" customFormat="false" ht="15" hidden="false" customHeight="false" outlineLevel="0" collapsed="false">
      <c r="A61" s="0" t="s">
        <v>69</v>
      </c>
      <c r="B61" s="4" t="n">
        <f aca="false">Realistic!G21</f>
        <v>16301765</v>
      </c>
    </row>
    <row r="62" customFormat="false" ht="15" hidden="false" customHeight="false" outlineLevel="0" collapsed="false">
      <c r="A62" s="0" t="s">
        <v>70</v>
      </c>
      <c r="B62" s="4" t="n">
        <f aca="false">Realistic!G48+Realistic!G52</f>
        <v>5427004.8</v>
      </c>
    </row>
    <row r="63" customFormat="false" ht="15" hidden="false" customHeight="false" outlineLevel="0" collapsed="false">
      <c r="A63" s="0" t="s">
        <v>71</v>
      </c>
      <c r="B63" s="4" t="n">
        <f aca="false">Assumptions!$C$110</f>
        <v>6250000</v>
      </c>
    </row>
    <row r="64" customFormat="false" ht="15" hidden="false" customHeight="false" outlineLevel="0" collapsed="false">
      <c r="A64" s="0" t="s">
        <v>72</v>
      </c>
      <c r="B64" s="22" t="n">
        <v>0.9</v>
      </c>
      <c r="I64" s="20" t="s">
        <v>73</v>
      </c>
    </row>
    <row r="65" customFormat="false" ht="15" hidden="false" customHeight="false" outlineLevel="0" collapsed="false">
      <c r="A65" s="0" t="s">
        <v>74</v>
      </c>
      <c r="B65" s="23" t="n">
        <v>4000000</v>
      </c>
      <c r="I65" s="20" t="s">
        <v>75</v>
      </c>
    </row>
    <row r="66" customFormat="false" ht="15" hidden="false" customHeight="false" outlineLevel="0" collapsed="false">
      <c r="A66" s="0" t="s">
        <v>76</v>
      </c>
      <c r="B66" s="23" t="n">
        <v>600000</v>
      </c>
      <c r="I66" s="20" t="s">
        <v>77</v>
      </c>
    </row>
    <row r="67" customFormat="false" ht="15" hidden="false" customHeight="false" outlineLevel="0" collapsed="false">
      <c r="A67" s="0" t="s">
        <v>78</v>
      </c>
      <c r="B67" s="19" t="n">
        <v>300</v>
      </c>
      <c r="I67" s="20" t="s">
        <v>79</v>
      </c>
    </row>
    <row r="68" customFormat="false" ht="15" hidden="false" customHeight="false" outlineLevel="0" collapsed="false">
      <c r="A68" s="0" t="s">
        <v>80</v>
      </c>
      <c r="B68" s="7" t="n">
        <f aca="false">Assumptions!$C$109</f>
        <v>7</v>
      </c>
    </row>
    <row r="69" customFormat="false" ht="15" hidden="false" customHeight="false" outlineLevel="0" collapsed="false">
      <c r="A69" s="0" t="s">
        <v>81</v>
      </c>
      <c r="B69" s="23" t="n">
        <v>4000000</v>
      </c>
      <c r="I69" s="20" t="s">
        <v>82</v>
      </c>
    </row>
    <row r="71" customFormat="false" ht="15" hidden="false" customHeight="false" outlineLevel="0" collapsed="false">
      <c r="A71" s="9" t="s">
        <v>83</v>
      </c>
    </row>
    <row r="72" customFormat="false" ht="15" hidden="false" customHeight="false" outlineLevel="0" collapsed="false">
      <c r="A72" s="0" t="s">
        <v>84</v>
      </c>
      <c r="B72" s="24" t="n">
        <f aca="false">B$59*Assumptions!$C$92</f>
        <v>0.4</v>
      </c>
      <c r="C72" s="24" t="n">
        <f aca="false">B$59*Assumptions!$C$93</f>
        <v>0.65</v>
      </c>
      <c r="D72" s="24" t="n">
        <f aca="false">B$59*Assumptions!$C$94</f>
        <v>0.85</v>
      </c>
      <c r="E72" s="24" t="n">
        <f aca="false">B$59*Assumptions!$C$95</f>
        <v>0.95</v>
      </c>
      <c r="F72" s="24" t="n">
        <f aca="false">B$59*Assumptions!$C$96</f>
        <v>1</v>
      </c>
      <c r="G72" s="24" t="n">
        <f aca="false">B$59*Assumptions!$C$96</f>
        <v>1</v>
      </c>
      <c r="H72" s="24" t="n">
        <f aca="false">B$59*Assumptions!$C$96</f>
        <v>1</v>
      </c>
    </row>
    <row r="73" customFormat="false" ht="15" hidden="false" customHeight="false" outlineLevel="0" collapsed="false">
      <c r="A73" s="0" t="s">
        <v>85</v>
      </c>
      <c r="B73" s="24" t="n">
        <f aca="false">0</f>
        <v>0</v>
      </c>
      <c r="C73" s="24" t="n">
        <f aca="false">C$59*Assumptions!$C$92</f>
        <v>0.8</v>
      </c>
      <c r="D73" s="24" t="n">
        <f aca="false">C$59*Assumptions!$C$93</f>
        <v>1.3</v>
      </c>
      <c r="E73" s="24" t="n">
        <f aca="false">C$59*Assumptions!$C$94</f>
        <v>1.7</v>
      </c>
      <c r="F73" s="24" t="n">
        <f aca="false">C$59*Assumptions!$C$95</f>
        <v>1.9</v>
      </c>
      <c r="G73" s="24" t="n">
        <f aca="false">C$59*Assumptions!$C$96</f>
        <v>2</v>
      </c>
      <c r="H73" s="24" t="n">
        <f aca="false">C$59*Assumptions!$C$96</f>
        <v>2</v>
      </c>
    </row>
    <row r="74" customFormat="false" ht="15" hidden="false" customHeight="false" outlineLevel="0" collapsed="false">
      <c r="A74" s="0" t="s">
        <v>86</v>
      </c>
      <c r="B74" s="24" t="n">
        <f aca="false">0</f>
        <v>0</v>
      </c>
      <c r="C74" s="24" t="n">
        <f aca="false">0</f>
        <v>0</v>
      </c>
      <c r="D74" s="24" t="n">
        <f aca="false">D$59*Assumptions!$C$92</f>
        <v>2.8</v>
      </c>
      <c r="E74" s="24" t="n">
        <f aca="false">D$59*Assumptions!$C$93</f>
        <v>4.55</v>
      </c>
      <c r="F74" s="24" t="n">
        <f aca="false">D$59*Assumptions!$C$94</f>
        <v>5.95</v>
      </c>
      <c r="G74" s="24" t="n">
        <f aca="false">D$59*Assumptions!$C$95</f>
        <v>6.65</v>
      </c>
      <c r="H74" s="24" t="n">
        <f aca="false">D$59*Assumptions!$C$96</f>
        <v>7</v>
      </c>
    </row>
    <row r="75" customFormat="false" ht="15" hidden="false" customHeight="false" outlineLevel="0" collapsed="false">
      <c r="A75" s="0" t="s">
        <v>87</v>
      </c>
      <c r="B75" s="24" t="n">
        <f aca="false">0</f>
        <v>0</v>
      </c>
      <c r="C75" s="24" t="n">
        <f aca="false">0</f>
        <v>0</v>
      </c>
      <c r="D75" s="24" t="n">
        <f aca="false">0</f>
        <v>0</v>
      </c>
      <c r="E75" s="24" t="n">
        <f aca="false">E$59*Assumptions!$C$92</f>
        <v>6</v>
      </c>
      <c r="F75" s="24" t="n">
        <f aca="false">E$59*Assumptions!$C$93</f>
        <v>9.75</v>
      </c>
      <c r="G75" s="24" t="n">
        <f aca="false">E$59*Assumptions!$C$94</f>
        <v>12.75</v>
      </c>
      <c r="H75" s="24" t="n">
        <f aca="false">E$59*Assumptions!$C$95</f>
        <v>14.25</v>
      </c>
    </row>
    <row r="76" customFormat="false" ht="15" hidden="false" customHeight="false" outlineLevel="0" collapsed="false">
      <c r="A76" s="0" t="s">
        <v>88</v>
      </c>
      <c r="B76" s="24" t="n">
        <f aca="false">0</f>
        <v>0</v>
      </c>
      <c r="C76" s="24" t="n">
        <f aca="false">0</f>
        <v>0</v>
      </c>
      <c r="D76" s="24" t="n">
        <f aca="false">0</f>
        <v>0</v>
      </c>
      <c r="E76" s="24" t="n">
        <f aca="false">0</f>
        <v>0</v>
      </c>
      <c r="F76" s="24" t="n">
        <f aca="false">F$59*Assumptions!$C$92</f>
        <v>10</v>
      </c>
      <c r="G76" s="24" t="n">
        <f aca="false">F$59*Assumptions!$C$93</f>
        <v>16.25</v>
      </c>
      <c r="H76" s="24" t="n">
        <f aca="false">F$59*Assumptions!$C$94</f>
        <v>21.25</v>
      </c>
    </row>
    <row r="77" customFormat="false" ht="15" hidden="false" customHeight="false" outlineLevel="0" collapsed="false">
      <c r="A77" s="0" t="s">
        <v>89</v>
      </c>
      <c r="B77" s="24" t="n">
        <f aca="false">0</f>
        <v>0</v>
      </c>
      <c r="C77" s="24" t="n">
        <f aca="false">0</f>
        <v>0</v>
      </c>
      <c r="D77" s="24" t="n">
        <f aca="false">0</f>
        <v>0</v>
      </c>
      <c r="E77" s="24" t="n">
        <f aca="false">0</f>
        <v>0</v>
      </c>
      <c r="F77" s="24" t="n">
        <f aca="false">0</f>
        <v>0</v>
      </c>
      <c r="G77" s="24" t="n">
        <f aca="false">G$59*Assumptions!$C$92</f>
        <v>10</v>
      </c>
      <c r="H77" s="24" t="n">
        <f aca="false">G$59*Assumptions!$C$93</f>
        <v>16.25</v>
      </c>
    </row>
    <row r="78" customFormat="false" ht="15" hidden="false" customHeight="false" outlineLevel="0" collapsed="false">
      <c r="A78" s="0" t="s">
        <v>90</v>
      </c>
      <c r="B78" s="24" t="n">
        <f aca="false">0</f>
        <v>0</v>
      </c>
      <c r="C78" s="24" t="n">
        <f aca="false">0</f>
        <v>0</v>
      </c>
      <c r="D78" s="24" t="n">
        <f aca="false">0</f>
        <v>0</v>
      </c>
      <c r="E78" s="24" t="n">
        <f aca="false">0</f>
        <v>0</v>
      </c>
      <c r="F78" s="24" t="n">
        <f aca="false">0</f>
        <v>0</v>
      </c>
      <c r="G78" s="24" t="n">
        <f aca="false">0</f>
        <v>0</v>
      </c>
      <c r="H78" s="24" t="n">
        <f aca="false">H$59*Assumptions!$C$92</f>
        <v>10</v>
      </c>
    </row>
    <row r="79" customFormat="false" ht="15" hidden="false" customHeight="false" outlineLevel="0" collapsed="false">
      <c r="A79" s="9" t="s">
        <v>91</v>
      </c>
      <c r="B79" s="25" t="n">
        <f aca="false">SUM(B72:B78)</f>
        <v>0.4</v>
      </c>
      <c r="C79" s="25" t="n">
        <f aca="false">SUM(C72:C78)</f>
        <v>1.45</v>
      </c>
      <c r="D79" s="25" t="n">
        <f aca="false">SUM(D72:D78)</f>
        <v>4.95</v>
      </c>
      <c r="E79" s="25" t="n">
        <f aca="false">SUM(E72:E78)</f>
        <v>13.2</v>
      </c>
      <c r="F79" s="25" t="n">
        <f aca="false">SUM(F72:F78)</f>
        <v>28.6</v>
      </c>
      <c r="G79" s="25" t="n">
        <f aca="false">SUM(G72:G78)</f>
        <v>48.65</v>
      </c>
      <c r="H79" s="25" t="n">
        <f aca="false">SUM(H72:H78)</f>
        <v>71.75</v>
      </c>
    </row>
    <row r="81" customFormat="false" ht="15" hidden="false" customHeight="false" outlineLevel="0" collapsed="false">
      <c r="A81" s="9" t="s">
        <v>92</v>
      </c>
    </row>
    <row r="82" customFormat="false" ht="15" hidden="false" customHeight="false" outlineLevel="0" collapsed="false">
      <c r="A82" s="9" t="s">
        <v>93</v>
      </c>
      <c r="B82" s="26" t="n">
        <f aca="false">B79*$B$61</f>
        <v>6520706</v>
      </c>
      <c r="C82" s="26" t="n">
        <f aca="false">C79*$B$61</f>
        <v>23637559.25</v>
      </c>
      <c r="D82" s="26" t="n">
        <f aca="false">D79*$B$61</f>
        <v>80693736.75</v>
      </c>
      <c r="E82" s="26" t="n">
        <f aca="false">E79*$B$61</f>
        <v>215183298</v>
      </c>
      <c r="F82" s="26" t="n">
        <f aca="false">F79*$B$61</f>
        <v>466230479</v>
      </c>
      <c r="G82" s="26" t="n">
        <f aca="false">G79*$B$61</f>
        <v>793080867.25</v>
      </c>
      <c r="H82" s="26" t="n">
        <f aca="false">H79*$B$61</f>
        <v>1169651638.75</v>
      </c>
    </row>
    <row r="83" customFormat="false" ht="15" hidden="false" customHeight="false" outlineLevel="0" collapsed="false">
      <c r="A83" s="27" t="s">
        <v>94</v>
      </c>
      <c r="B83" s="28" t="n">
        <f aca="false">B79*$B$62</f>
        <v>2170801.92</v>
      </c>
      <c r="C83" s="28" t="n">
        <f aca="false">C79*$B$62</f>
        <v>7869156.96</v>
      </c>
      <c r="D83" s="28" t="n">
        <f aca="false">D79*$B$62</f>
        <v>26863673.76</v>
      </c>
      <c r="E83" s="28" t="n">
        <f aca="false">E79*$B$62</f>
        <v>71636463.36</v>
      </c>
      <c r="F83" s="28" t="n">
        <f aca="false">F79*$B$62</f>
        <v>155212337.28</v>
      </c>
      <c r="G83" s="28" t="n">
        <f aca="false">G79*$B$62</f>
        <v>264023783.52</v>
      </c>
      <c r="H83" s="28" t="n">
        <f aca="false">H79*$B$62</f>
        <v>389387594.4</v>
      </c>
    </row>
    <row r="84" customFormat="false" ht="15" hidden="false" customHeight="false" outlineLevel="0" collapsed="false">
      <c r="A84" s="27" t="s">
        <v>95</v>
      </c>
      <c r="B84" s="28" t="n">
        <f aca="false">-B60*$B$66</f>
        <v>-600000</v>
      </c>
      <c r="C84" s="28" t="n">
        <f aca="false">-C60*$B$66</f>
        <v>-1800000</v>
      </c>
      <c r="D84" s="28" t="n">
        <f aca="false">-D60*$B$66</f>
        <v>-6000000</v>
      </c>
      <c r="E84" s="28" t="n">
        <f aca="false">-E60*$B$66</f>
        <v>-15000000</v>
      </c>
      <c r="F84" s="28" t="n">
        <f aca="false">-F60*$B$66</f>
        <v>-30000000</v>
      </c>
      <c r="G84" s="28" t="n">
        <f aca="false">-G60*$B$66</f>
        <v>-45000000</v>
      </c>
      <c r="H84" s="28" t="n">
        <f aca="false">-H60*$B$66</f>
        <v>-60000000</v>
      </c>
    </row>
    <row r="85" customFormat="false" ht="15" hidden="false" customHeight="false" outlineLevel="0" collapsed="false">
      <c r="A85" s="27" t="s">
        <v>96</v>
      </c>
      <c r="B85" s="28" t="n">
        <f aca="false">-$B$65</f>
        <v>-4000000</v>
      </c>
      <c r="C85" s="28" t="n">
        <f aca="false">-$B$65</f>
        <v>-4000000</v>
      </c>
      <c r="D85" s="28" t="n">
        <f aca="false">-$B$65</f>
        <v>-4000000</v>
      </c>
      <c r="E85" s="28" t="n">
        <f aca="false">-$B$65</f>
        <v>-4000000</v>
      </c>
      <c r="F85" s="28" t="n">
        <f aca="false">-$B$65</f>
        <v>-4000000</v>
      </c>
      <c r="G85" s="28" t="n">
        <f aca="false">-$B$65</f>
        <v>-4000000</v>
      </c>
      <c r="H85" s="28" t="n">
        <f aca="false">-$B$65</f>
        <v>-4000000</v>
      </c>
    </row>
    <row r="86" customFormat="false" ht="15" hidden="false" customHeight="false" outlineLevel="0" collapsed="false">
      <c r="A86" s="9" t="s">
        <v>97</v>
      </c>
      <c r="B86" s="26" t="n">
        <f aca="false">B83+B84+B85</f>
        <v>-2429198.08</v>
      </c>
      <c r="C86" s="26" t="n">
        <f aca="false">C83+C84+C85</f>
        <v>2069156.96</v>
      </c>
      <c r="D86" s="26" t="n">
        <f aca="false">D83+D84+D85</f>
        <v>16863673.76</v>
      </c>
      <c r="E86" s="26" t="n">
        <f aca="false">E83+E84+E85</f>
        <v>52636463.36</v>
      </c>
      <c r="F86" s="26" t="n">
        <f aca="false">F83+F84+F85</f>
        <v>121212337.28</v>
      </c>
      <c r="G86" s="26" t="n">
        <f aca="false">G83+G84+G85</f>
        <v>215023783.52</v>
      </c>
      <c r="H86" s="26" t="n">
        <f aca="false">H83+H84+H85</f>
        <v>325387594.4</v>
      </c>
    </row>
    <row r="87" customFormat="false" ht="15" hidden="false" customHeight="false" outlineLevel="0" collapsed="false">
      <c r="A87" s="27" t="s">
        <v>98</v>
      </c>
      <c r="B87" s="29" t="n">
        <f aca="false">IF(B82=0,0,B86/B82)</f>
        <v>-0.372536053611373</v>
      </c>
      <c r="C87" s="29" t="n">
        <f aca="false">IF(C82=0,0,C86/C82)</f>
        <v>0.0875368280673903</v>
      </c>
      <c r="D87" s="29" t="n">
        <f aca="false">IF(D82=0,0,D86/D82)</f>
        <v>0.20898367629505</v>
      </c>
      <c r="E87" s="29" t="n">
        <f aca="false">IF(E82=0,0,E86/E82)</f>
        <v>0.244612215953675</v>
      </c>
      <c r="F87" s="29" t="n">
        <f aca="false">IF(F82=0,0,F86/F82)</f>
        <v>0.259983726374955</v>
      </c>
      <c r="G87" s="29" t="n">
        <f aca="false">IF(G82=0,0,G86/G82)</f>
        <v>0.271124663826014</v>
      </c>
      <c r="H87" s="29" t="n">
        <f aca="false">IF(H82=0,0,H86/H82)</f>
        <v>0.278191885190483</v>
      </c>
    </row>
    <row r="88" customFormat="false" ht="15" hidden="false" customHeight="false" outlineLevel="0" collapsed="false">
      <c r="A88" s="27" t="s">
        <v>99</v>
      </c>
      <c r="B88" s="28" t="n">
        <f aca="false">-B82*Assumptions!$C$91</f>
        <v>-130414.12</v>
      </c>
      <c r="C88" s="28" t="n">
        <f aca="false">-C82*Assumptions!$C$91</f>
        <v>-472751.185</v>
      </c>
      <c r="D88" s="28" t="n">
        <f aca="false">-D82*Assumptions!$C$91</f>
        <v>-1613874.735</v>
      </c>
      <c r="E88" s="28" t="n">
        <f aca="false">-E82*Assumptions!$C$91</f>
        <v>-4303665.96</v>
      </c>
      <c r="F88" s="28" t="n">
        <f aca="false">-F82*Assumptions!$C$91</f>
        <v>-9324609.58</v>
      </c>
      <c r="G88" s="28" t="n">
        <f aca="false">-G82*Assumptions!$C$91</f>
        <v>-15861617.345</v>
      </c>
      <c r="H88" s="28" t="n">
        <f aca="false">-H82*Assumptions!$C$91</f>
        <v>-23393032.775</v>
      </c>
    </row>
    <row r="89" customFormat="false" ht="15" hidden="false" customHeight="false" outlineLevel="0" collapsed="false">
      <c r="A89" s="27" t="s">
        <v>100</v>
      </c>
      <c r="B89" s="28" t="n">
        <f aca="false">-B59*$B$63*IF(B60&lt;=2,1,$B$64)</f>
        <v>-6250000</v>
      </c>
      <c r="C89" s="28" t="n">
        <f aca="false">-C59*$B$63*IF(C60&lt;=2,1,$B$64)</f>
        <v>-11250000</v>
      </c>
      <c r="D89" s="28" t="n">
        <f aca="false">-D59*$B$63*IF(D60&lt;=2,1,$B$64)</f>
        <v>-39375000</v>
      </c>
      <c r="E89" s="28" t="n">
        <f aca="false">-E59*$B$63*IF(E60&lt;=2,1,$B$64)</f>
        <v>-84375000</v>
      </c>
      <c r="F89" s="28" t="n">
        <f aca="false">-F59*$B$63*IF(F60&lt;=2,1,$B$64)</f>
        <v>-140625000</v>
      </c>
      <c r="G89" s="28" t="n">
        <f aca="false">-G59*$B$63*IF(G60&lt;=2,1,$B$64)</f>
        <v>-140625000</v>
      </c>
      <c r="H89" s="28" t="n">
        <f aca="false">-H59*$B$63*IF(H60&lt;=2,1,$B$64)</f>
        <v>-140625000</v>
      </c>
    </row>
    <row r="90" customFormat="false" ht="15" hidden="false" customHeight="false" outlineLevel="0" collapsed="false">
      <c r="A90" s="9" t="s">
        <v>101</v>
      </c>
      <c r="B90" s="26" t="n">
        <f aca="false">B86+B88+B89</f>
        <v>-8809612.2</v>
      </c>
      <c r="C90" s="26" t="n">
        <f aca="false">C86+C88+C89</f>
        <v>-9653594.225</v>
      </c>
      <c r="D90" s="26" t="n">
        <f aca="false">D86+D88+D89</f>
        <v>-24125200.975</v>
      </c>
      <c r="E90" s="26" t="n">
        <f aca="false">E86+E88+E89</f>
        <v>-36042202.6</v>
      </c>
      <c r="F90" s="26" t="n">
        <f aca="false">F86+F88+F89</f>
        <v>-28737272.3</v>
      </c>
      <c r="G90" s="26" t="n">
        <f aca="false">G86+G88+G89</f>
        <v>58537166.175</v>
      </c>
      <c r="H90" s="26" t="n">
        <f aca="false">H86+H88+H89</f>
        <v>161369561.625</v>
      </c>
    </row>
    <row r="91" customFormat="false" ht="15" hidden="false" customHeight="false" outlineLevel="0" collapsed="false">
      <c r="A91" s="27" t="s">
        <v>102</v>
      </c>
      <c r="B91" s="28" t="n">
        <f aca="false">B90</f>
        <v>-8809612.2</v>
      </c>
      <c r="C91" s="28" t="n">
        <f aca="false">B91+C90</f>
        <v>-18463206.425</v>
      </c>
      <c r="D91" s="28" t="n">
        <f aca="false">C91+D90</f>
        <v>-42588407.4</v>
      </c>
      <c r="E91" s="28" t="n">
        <f aca="false">D91+E90</f>
        <v>-78630610</v>
      </c>
      <c r="F91" s="28" t="n">
        <f aca="false">E91+F90</f>
        <v>-107367882.3</v>
      </c>
      <c r="G91" s="28" t="n">
        <f aca="false">F91+G90</f>
        <v>-48830716.1249999</v>
      </c>
      <c r="H91" s="28" t="n">
        <f aca="false">G91+H90</f>
        <v>112538845.5</v>
      </c>
    </row>
    <row r="93" customFormat="false" ht="15" hidden="false" customHeight="false" outlineLevel="0" collapsed="false">
      <c r="A93" s="9" t="s">
        <v>103</v>
      </c>
    </row>
    <row r="94" customFormat="false" ht="15" hidden="false" customHeight="false" outlineLevel="0" collapsed="false">
      <c r="A94" s="9" t="s">
        <v>104</v>
      </c>
      <c r="B94" s="26" t="n">
        <f aca="false">MAX(0,B86)*$B$68</f>
        <v>0</v>
      </c>
      <c r="C94" s="26" t="n">
        <f aca="false">MAX(0,C86)*$B$68</f>
        <v>14484098.72</v>
      </c>
      <c r="D94" s="26" t="n">
        <f aca="false">MAX(0,D86)*$B$68</f>
        <v>118045716.32</v>
      </c>
      <c r="E94" s="26" t="n">
        <f aca="false">MAX(0,E86)*$B$68</f>
        <v>368455243.52</v>
      </c>
      <c r="F94" s="26" t="n">
        <f aca="false">MAX(0,F86)*$B$68</f>
        <v>848486360.96</v>
      </c>
      <c r="G94" s="26" t="n">
        <f aca="false">MAX(0,G86)*$B$68</f>
        <v>1505166484.64</v>
      </c>
      <c r="H94" s="26" t="n">
        <f aca="false">MAX(0,H86)*$B$68</f>
        <v>2277713160.8</v>
      </c>
    </row>
    <row r="95" customFormat="false" ht="15" hidden="false" customHeight="false" outlineLevel="0" collapsed="false">
      <c r="A95" s="27" t="s">
        <v>105</v>
      </c>
      <c r="B95" s="28" t="n">
        <f aca="false">B60*($B$62-$B$66)-$B$65</f>
        <v>827004.800000001</v>
      </c>
      <c r="C95" s="28" t="n">
        <f aca="false">C60*($B$62-$B$66)-$B$65</f>
        <v>10481014.4</v>
      </c>
      <c r="D95" s="28" t="n">
        <f aca="false">D60*($B$62-$B$66)-$B$65</f>
        <v>44270048</v>
      </c>
      <c r="E95" s="28" t="n">
        <f aca="false">E60*($B$62-$B$66)-$B$65</f>
        <v>116675120</v>
      </c>
      <c r="F95" s="28" t="n">
        <f aca="false">F60*($B$62-$B$66)-$B$65</f>
        <v>237350240</v>
      </c>
      <c r="G95" s="28" t="n">
        <f aca="false">G60*($B$62-$B$66)-$B$65</f>
        <v>358025360</v>
      </c>
      <c r="H95" s="28" t="n">
        <f aca="false">H60*($B$62-$B$66)-$B$65</f>
        <v>478700480</v>
      </c>
    </row>
    <row r="96" customFormat="false" ht="15" hidden="false" customHeight="false" outlineLevel="0" collapsed="false">
      <c r="A96" s="9" t="s">
        <v>106</v>
      </c>
      <c r="B96" s="26" t="n">
        <f aca="false">MAX(0,B95)*$B$68</f>
        <v>5789033.60000001</v>
      </c>
      <c r="C96" s="26" t="n">
        <f aca="false">MAX(0,C95)*$B$68</f>
        <v>73367100.8</v>
      </c>
      <c r="D96" s="26" t="n">
        <f aca="false">MAX(0,D95)*$B$68</f>
        <v>309890336</v>
      </c>
      <c r="E96" s="26" t="n">
        <f aca="false">MAX(0,E95)*$B$68</f>
        <v>816725840</v>
      </c>
      <c r="F96" s="26" t="n">
        <f aca="false">MAX(0,F95)*$B$68</f>
        <v>1661451680</v>
      </c>
      <c r="G96" s="26" t="n">
        <f aca="false">MAX(0,G95)*$B$68</f>
        <v>2506177520</v>
      </c>
      <c r="H96" s="26" t="n">
        <f aca="false">MAX(0,H95)*$B$68</f>
        <v>3350903360</v>
      </c>
    </row>
    <row r="97" customFormat="false" ht="15" hidden="false" customHeight="false" outlineLevel="0" collapsed="false">
      <c r="A97" s="27" t="s">
        <v>107</v>
      </c>
      <c r="B97" s="28" t="n">
        <f aca="false">B60*$B$69</f>
        <v>4000000</v>
      </c>
      <c r="C97" s="28" t="n">
        <f aca="false">C60*$B$69</f>
        <v>12000000</v>
      </c>
      <c r="D97" s="28" t="n">
        <f aca="false">D60*$B$69</f>
        <v>40000000</v>
      </c>
      <c r="E97" s="28" t="n">
        <f aca="false">E60*$B$69</f>
        <v>100000000</v>
      </c>
      <c r="F97" s="28" t="n">
        <f aca="false">F60*$B$69</f>
        <v>200000000</v>
      </c>
      <c r="G97" s="28" t="n">
        <f aca="false">G60*$B$69</f>
        <v>300000000</v>
      </c>
      <c r="H97" s="28" t="n">
        <f aca="false">H60*$B$69</f>
        <v>400000000</v>
      </c>
    </row>
    <row r="99" customFormat="false" ht="15" hidden="false" customHeight="false" outlineLevel="0" collapsed="false">
      <c r="A99" s="9" t="s">
        <v>108</v>
      </c>
    </row>
    <row r="100" customFormat="false" ht="15" hidden="false" customHeight="false" outlineLevel="0" collapsed="false">
      <c r="A100" s="0" t="s">
        <v>109</v>
      </c>
      <c r="B100" s="10" t="n">
        <f aca="false">$B$62-$B$66</f>
        <v>4827004.8</v>
      </c>
    </row>
    <row r="101" customFormat="false" ht="15" hidden="false" customHeight="false" outlineLevel="0" collapsed="false">
      <c r="A101" s="0" t="s">
        <v>110</v>
      </c>
      <c r="B101" s="30" t="n">
        <f aca="false">IF(B100&lt;=0,"never on EBITDA",ROUNDUP((1000000000/$B$68+$B$65)/B100,0))</f>
        <v>31</v>
      </c>
    </row>
    <row r="102" customFormat="false" ht="15" hidden="false" customHeight="false" outlineLevel="0" collapsed="false">
      <c r="A102" s="0" t="s">
        <v>111</v>
      </c>
      <c r="B102" s="30" t="n">
        <f aca="false">IF(B100&lt;=0,"never on EBITDA",ROUNDUP((10000000000/$B$68+$B$65)/B100,0))</f>
        <v>297</v>
      </c>
    </row>
    <row r="103" customFormat="false" ht="15" hidden="false" customHeight="false" outlineLevel="0" collapsed="false">
      <c r="A103" s="0" t="s">
        <v>112</v>
      </c>
      <c r="B103" s="21" t="n">
        <f aca="false">ROUNDUP(1000000000/$B$69,0)</f>
        <v>250</v>
      </c>
    </row>
    <row r="104" customFormat="false" ht="15" hidden="false" customHeight="false" outlineLevel="0" collapsed="false">
      <c r="A104" s="0" t="s">
        <v>113</v>
      </c>
      <c r="B104" s="0" t="str">
        <f aca="false">IF(ISNUMBER(B102),IF(B102&gt;$B$67,"exceeds pool — needs "&amp;B102&amp;" boxes vs "&amp;$B$67,"within pool"),"n/a")</f>
        <v>within pool</v>
      </c>
    </row>
    <row r="105" customFormat="false" ht="15" hidden="false" customHeight="false" outlineLevel="0" collapsed="false">
      <c r="A105" s="0" t="s">
        <v>50</v>
      </c>
      <c r="B105" s="0" t="str">
        <f aca="false">IFERROR(INDEX($B$58:$H$58,MATCH(TRUE(),INDEX(B96:H96&gt;=1000000000,0),0)),"not by Y7")</f>
        <v>Y5</v>
      </c>
    </row>
    <row r="106" customFormat="false" ht="15" hidden="false" customHeight="false" outlineLevel="0" collapsed="false">
      <c r="A106" s="0" t="s">
        <v>51</v>
      </c>
      <c r="B106" s="0" t="str">
        <f aca="false">IFERROR(INDEX($B$58:$H$58,MATCH(TRUE(),INDEX(B96:H96&gt;=10000000000,0),0)),"not by Y7")</f>
        <v>not by Y7</v>
      </c>
    </row>
    <row r="107" customFormat="false" ht="15" hidden="false" customHeight="false" outlineLevel="0" collapsed="false">
      <c r="A107" s="0" t="s">
        <v>114</v>
      </c>
      <c r="B107" s="10" t="n">
        <f aca="false">-MIN(B91:H91)</f>
        <v>107367882.3</v>
      </c>
    </row>
    <row r="110" customFormat="false" ht="15" hidden="false" customHeight="false" outlineLevel="0" collapsed="false">
      <c r="A110" s="3" t="s">
        <v>117</v>
      </c>
      <c r="B110" s="15"/>
      <c r="C110" s="15"/>
      <c r="D110" s="15"/>
      <c r="E110" s="15"/>
      <c r="F110" s="15"/>
      <c r="G110" s="15"/>
      <c r="H110" s="15"/>
      <c r="I110" s="15"/>
      <c r="J110" s="15"/>
    </row>
    <row r="111" customFormat="false" ht="15" hidden="false" customHeight="false" outlineLevel="0" collapsed="false">
      <c r="A111" s="9" t="s">
        <v>57</v>
      </c>
      <c r="B111" s="18" t="s">
        <v>58</v>
      </c>
      <c r="C111" s="18" t="s">
        <v>59</v>
      </c>
      <c r="D111" s="18" t="s">
        <v>60</v>
      </c>
      <c r="E111" s="18" t="s">
        <v>61</v>
      </c>
      <c r="F111" s="18" t="s">
        <v>62</v>
      </c>
      <c r="G111" s="18" t="s">
        <v>63</v>
      </c>
      <c r="H111" s="18" t="s">
        <v>64</v>
      </c>
      <c r="I111" s="9" t="s">
        <v>65</v>
      </c>
    </row>
    <row r="112" customFormat="false" ht="15" hidden="false" customHeight="false" outlineLevel="0" collapsed="false">
      <c r="A112" s="0" t="s">
        <v>66</v>
      </c>
      <c r="B112" s="19" t="n">
        <v>1</v>
      </c>
      <c r="C112" s="19" t="n">
        <v>3</v>
      </c>
      <c r="D112" s="19" t="n">
        <v>11</v>
      </c>
      <c r="E112" s="19" t="n">
        <v>25</v>
      </c>
      <c r="F112" s="19" t="n">
        <v>60</v>
      </c>
      <c r="G112" s="19" t="n">
        <v>60</v>
      </c>
      <c r="H112" s="19" t="n">
        <v>60</v>
      </c>
      <c r="I112" s="20" t="s">
        <v>118</v>
      </c>
    </row>
    <row r="113" customFormat="false" ht="15" hidden="false" customHeight="false" outlineLevel="0" collapsed="false">
      <c r="A113" s="0" t="s">
        <v>68</v>
      </c>
      <c r="B113" s="21" t="n">
        <f aca="false">SUM($B$112:B112)</f>
        <v>1</v>
      </c>
      <c r="C113" s="21" t="n">
        <f aca="false">SUM($B$112:C112)</f>
        <v>4</v>
      </c>
      <c r="D113" s="21" t="n">
        <f aca="false">SUM($B$112:D112)</f>
        <v>15</v>
      </c>
      <c r="E113" s="21" t="n">
        <f aca="false">SUM($B$112:E112)</f>
        <v>40</v>
      </c>
      <c r="F113" s="21" t="n">
        <f aca="false">SUM($B$112:F112)</f>
        <v>100</v>
      </c>
      <c r="G113" s="21" t="n">
        <f aca="false">SUM($B$112:G112)</f>
        <v>160</v>
      </c>
      <c r="H113" s="21" t="n">
        <f aca="false">SUM($B$112:H112)</f>
        <v>220</v>
      </c>
    </row>
    <row r="114" customFormat="false" ht="15" hidden="false" customHeight="false" outlineLevel="0" collapsed="false">
      <c r="A114" s="0" t="s">
        <v>69</v>
      </c>
      <c r="B114" s="4" t="n">
        <f aca="false">Optimistic!G21</f>
        <v>27113882</v>
      </c>
    </row>
    <row r="115" customFormat="false" ht="15" hidden="false" customHeight="false" outlineLevel="0" collapsed="false">
      <c r="A115" s="0" t="s">
        <v>70</v>
      </c>
      <c r="B115" s="4" t="n">
        <f aca="false">Optimistic!G48+Optimistic!G52</f>
        <v>12397995.2</v>
      </c>
    </row>
    <row r="116" customFormat="false" ht="15" hidden="false" customHeight="false" outlineLevel="0" collapsed="false">
      <c r="A116" s="0" t="s">
        <v>71</v>
      </c>
      <c r="B116" s="4" t="n">
        <f aca="false">Assumptions!$D$110</f>
        <v>5100000</v>
      </c>
    </row>
    <row r="117" customFormat="false" ht="15" hidden="false" customHeight="false" outlineLevel="0" collapsed="false">
      <c r="A117" s="0" t="s">
        <v>72</v>
      </c>
      <c r="B117" s="22" t="n">
        <v>0.8</v>
      </c>
      <c r="I117" s="20" t="s">
        <v>73</v>
      </c>
    </row>
    <row r="118" customFormat="false" ht="15" hidden="false" customHeight="false" outlineLevel="0" collapsed="false">
      <c r="A118" s="0" t="s">
        <v>74</v>
      </c>
      <c r="B118" s="23" t="n">
        <v>5000000</v>
      </c>
      <c r="I118" s="20" t="s">
        <v>75</v>
      </c>
    </row>
    <row r="119" customFormat="false" ht="15" hidden="false" customHeight="false" outlineLevel="0" collapsed="false">
      <c r="A119" s="0" t="s">
        <v>76</v>
      </c>
      <c r="B119" s="23" t="n">
        <v>500000</v>
      </c>
      <c r="I119" s="20" t="s">
        <v>77</v>
      </c>
    </row>
    <row r="120" customFormat="false" ht="15" hidden="false" customHeight="false" outlineLevel="0" collapsed="false">
      <c r="A120" s="0" t="s">
        <v>78</v>
      </c>
      <c r="B120" s="19" t="n">
        <v>500</v>
      </c>
      <c r="I120" s="20" t="s">
        <v>79</v>
      </c>
    </row>
    <row r="121" customFormat="false" ht="15" hidden="false" customHeight="false" outlineLevel="0" collapsed="false">
      <c r="A121" s="0" t="s">
        <v>80</v>
      </c>
      <c r="B121" s="7" t="n">
        <f aca="false">Assumptions!$D$109</f>
        <v>9</v>
      </c>
    </row>
    <row r="122" customFormat="false" ht="15" hidden="false" customHeight="false" outlineLevel="0" collapsed="false">
      <c r="A122" s="0" t="s">
        <v>81</v>
      </c>
      <c r="B122" s="23" t="n">
        <v>4000000</v>
      </c>
      <c r="I122" s="20" t="s">
        <v>82</v>
      </c>
    </row>
    <row r="124" customFormat="false" ht="15" hidden="false" customHeight="false" outlineLevel="0" collapsed="false">
      <c r="A124" s="9" t="s">
        <v>83</v>
      </c>
    </row>
    <row r="125" customFormat="false" ht="15" hidden="false" customHeight="false" outlineLevel="0" collapsed="false">
      <c r="A125" s="0" t="s">
        <v>84</v>
      </c>
      <c r="B125" s="24" t="n">
        <f aca="false">B$112*Assumptions!$D$92</f>
        <v>0.5</v>
      </c>
      <c r="C125" s="24" t="n">
        <f aca="false">B$112*Assumptions!$D$93</f>
        <v>0.8</v>
      </c>
      <c r="D125" s="24" t="n">
        <f aca="false">B$112*Assumptions!$D$94</f>
        <v>0.95</v>
      </c>
      <c r="E125" s="24" t="n">
        <f aca="false">B$112*Assumptions!$D$95</f>
        <v>1</v>
      </c>
      <c r="F125" s="24" t="n">
        <f aca="false">B$112*Assumptions!$D$96</f>
        <v>1</v>
      </c>
      <c r="G125" s="24" t="n">
        <f aca="false">B$112*Assumptions!$D$96</f>
        <v>1</v>
      </c>
      <c r="H125" s="24" t="n">
        <f aca="false">B$112*Assumptions!$D$96</f>
        <v>1</v>
      </c>
    </row>
    <row r="126" customFormat="false" ht="15" hidden="false" customHeight="false" outlineLevel="0" collapsed="false">
      <c r="A126" s="0" t="s">
        <v>85</v>
      </c>
      <c r="B126" s="24" t="n">
        <f aca="false">0</f>
        <v>0</v>
      </c>
      <c r="C126" s="24" t="n">
        <f aca="false">C$112*Assumptions!$D$92</f>
        <v>1.5</v>
      </c>
      <c r="D126" s="24" t="n">
        <f aca="false">C$112*Assumptions!$D$93</f>
        <v>2.4</v>
      </c>
      <c r="E126" s="24" t="n">
        <f aca="false">C$112*Assumptions!$D$94</f>
        <v>2.85</v>
      </c>
      <c r="F126" s="24" t="n">
        <f aca="false">C$112*Assumptions!$D$95</f>
        <v>3</v>
      </c>
      <c r="G126" s="24" t="n">
        <f aca="false">C$112*Assumptions!$D$96</f>
        <v>3</v>
      </c>
      <c r="H126" s="24" t="n">
        <f aca="false">C$112*Assumptions!$D$96</f>
        <v>3</v>
      </c>
    </row>
    <row r="127" customFormat="false" ht="15" hidden="false" customHeight="false" outlineLevel="0" collapsed="false">
      <c r="A127" s="0" t="s">
        <v>86</v>
      </c>
      <c r="B127" s="24" t="n">
        <f aca="false">0</f>
        <v>0</v>
      </c>
      <c r="C127" s="24" t="n">
        <f aca="false">0</f>
        <v>0</v>
      </c>
      <c r="D127" s="24" t="n">
        <f aca="false">D$112*Assumptions!$D$92</f>
        <v>5.5</v>
      </c>
      <c r="E127" s="24" t="n">
        <f aca="false">D$112*Assumptions!$D$93</f>
        <v>8.8</v>
      </c>
      <c r="F127" s="24" t="n">
        <f aca="false">D$112*Assumptions!$D$94</f>
        <v>10.45</v>
      </c>
      <c r="G127" s="24" t="n">
        <f aca="false">D$112*Assumptions!$D$95</f>
        <v>11</v>
      </c>
      <c r="H127" s="24" t="n">
        <f aca="false">D$112*Assumptions!$D$96</f>
        <v>11</v>
      </c>
    </row>
    <row r="128" customFormat="false" ht="15" hidden="false" customHeight="false" outlineLevel="0" collapsed="false">
      <c r="A128" s="0" t="s">
        <v>87</v>
      </c>
      <c r="B128" s="24" t="n">
        <f aca="false">0</f>
        <v>0</v>
      </c>
      <c r="C128" s="24" t="n">
        <f aca="false">0</f>
        <v>0</v>
      </c>
      <c r="D128" s="24" t="n">
        <f aca="false">0</f>
        <v>0</v>
      </c>
      <c r="E128" s="24" t="n">
        <f aca="false">E$112*Assumptions!$D$92</f>
        <v>12.5</v>
      </c>
      <c r="F128" s="24" t="n">
        <f aca="false">E$112*Assumptions!$D$93</f>
        <v>20</v>
      </c>
      <c r="G128" s="24" t="n">
        <f aca="false">E$112*Assumptions!$D$94</f>
        <v>23.75</v>
      </c>
      <c r="H128" s="24" t="n">
        <f aca="false">E$112*Assumptions!$D$95</f>
        <v>25</v>
      </c>
    </row>
    <row r="129" customFormat="false" ht="15" hidden="false" customHeight="false" outlineLevel="0" collapsed="false">
      <c r="A129" s="0" t="s">
        <v>88</v>
      </c>
      <c r="B129" s="24" t="n">
        <f aca="false">0</f>
        <v>0</v>
      </c>
      <c r="C129" s="24" t="n">
        <f aca="false">0</f>
        <v>0</v>
      </c>
      <c r="D129" s="24" t="n">
        <f aca="false">0</f>
        <v>0</v>
      </c>
      <c r="E129" s="24" t="n">
        <f aca="false">0</f>
        <v>0</v>
      </c>
      <c r="F129" s="24" t="n">
        <f aca="false">F$112*Assumptions!$D$92</f>
        <v>30</v>
      </c>
      <c r="G129" s="24" t="n">
        <f aca="false">F$112*Assumptions!$D$93</f>
        <v>48</v>
      </c>
      <c r="H129" s="24" t="n">
        <f aca="false">F$112*Assumptions!$D$94</f>
        <v>57</v>
      </c>
    </row>
    <row r="130" customFormat="false" ht="15" hidden="false" customHeight="false" outlineLevel="0" collapsed="false">
      <c r="A130" s="0" t="s">
        <v>89</v>
      </c>
      <c r="B130" s="24" t="n">
        <f aca="false">0</f>
        <v>0</v>
      </c>
      <c r="C130" s="24" t="n">
        <f aca="false">0</f>
        <v>0</v>
      </c>
      <c r="D130" s="24" t="n">
        <f aca="false">0</f>
        <v>0</v>
      </c>
      <c r="E130" s="24" t="n">
        <f aca="false">0</f>
        <v>0</v>
      </c>
      <c r="F130" s="24" t="n">
        <f aca="false">0</f>
        <v>0</v>
      </c>
      <c r="G130" s="24" t="n">
        <f aca="false">G$112*Assumptions!$D$92</f>
        <v>30</v>
      </c>
      <c r="H130" s="24" t="n">
        <f aca="false">G$112*Assumptions!$D$93</f>
        <v>48</v>
      </c>
    </row>
    <row r="131" customFormat="false" ht="15" hidden="false" customHeight="false" outlineLevel="0" collapsed="false">
      <c r="A131" s="0" t="s">
        <v>90</v>
      </c>
      <c r="B131" s="24" t="n">
        <f aca="false">0</f>
        <v>0</v>
      </c>
      <c r="C131" s="24" t="n">
        <f aca="false">0</f>
        <v>0</v>
      </c>
      <c r="D131" s="24" t="n">
        <f aca="false">0</f>
        <v>0</v>
      </c>
      <c r="E131" s="24" t="n">
        <f aca="false">0</f>
        <v>0</v>
      </c>
      <c r="F131" s="24" t="n">
        <f aca="false">0</f>
        <v>0</v>
      </c>
      <c r="G131" s="24" t="n">
        <f aca="false">0</f>
        <v>0</v>
      </c>
      <c r="H131" s="24" t="n">
        <f aca="false">H$112*Assumptions!$D$92</f>
        <v>30</v>
      </c>
    </row>
    <row r="132" customFormat="false" ht="15" hidden="false" customHeight="false" outlineLevel="0" collapsed="false">
      <c r="A132" s="9" t="s">
        <v>91</v>
      </c>
      <c r="B132" s="25" t="n">
        <f aca="false">SUM(B125:B131)</f>
        <v>0.5</v>
      </c>
      <c r="C132" s="25" t="n">
        <f aca="false">SUM(C125:C131)</f>
        <v>2.3</v>
      </c>
      <c r="D132" s="25" t="n">
        <f aca="false">SUM(D125:D131)</f>
        <v>8.85</v>
      </c>
      <c r="E132" s="25" t="n">
        <f aca="false">SUM(E125:E131)</f>
        <v>25.15</v>
      </c>
      <c r="F132" s="25" t="n">
        <f aca="false">SUM(F125:F131)</f>
        <v>64.45</v>
      </c>
      <c r="G132" s="25" t="n">
        <f aca="false">SUM(G125:G131)</f>
        <v>116.75</v>
      </c>
      <c r="H132" s="25" t="n">
        <f aca="false">SUM(H125:H131)</f>
        <v>175</v>
      </c>
    </row>
    <row r="134" customFormat="false" ht="15" hidden="false" customHeight="false" outlineLevel="0" collapsed="false">
      <c r="A134" s="9" t="s">
        <v>92</v>
      </c>
    </row>
    <row r="135" customFormat="false" ht="15" hidden="false" customHeight="false" outlineLevel="0" collapsed="false">
      <c r="A135" s="9" t="s">
        <v>93</v>
      </c>
      <c r="B135" s="26" t="n">
        <f aca="false">B132*$B$114</f>
        <v>13556941</v>
      </c>
      <c r="C135" s="26" t="n">
        <f aca="false">C132*$B$114</f>
        <v>62361928.6</v>
      </c>
      <c r="D135" s="26" t="n">
        <f aca="false">D132*$B$114</f>
        <v>239957855.7</v>
      </c>
      <c r="E135" s="26" t="n">
        <f aca="false">E132*$B$114</f>
        <v>681914132.3</v>
      </c>
      <c r="F135" s="26" t="n">
        <f aca="false">F132*$B$114</f>
        <v>1747489694.9</v>
      </c>
      <c r="G135" s="26" t="n">
        <f aca="false">G132*$B$114</f>
        <v>3165545723.5</v>
      </c>
      <c r="H135" s="26" t="n">
        <f aca="false">H132*$B$114</f>
        <v>4744929350</v>
      </c>
    </row>
    <row r="136" customFormat="false" ht="15" hidden="false" customHeight="false" outlineLevel="0" collapsed="false">
      <c r="A136" s="27" t="s">
        <v>94</v>
      </c>
      <c r="B136" s="28" t="n">
        <f aca="false">B132*$B$115</f>
        <v>6198997.6</v>
      </c>
      <c r="C136" s="28" t="n">
        <f aca="false">C132*$B$115</f>
        <v>28515388.96</v>
      </c>
      <c r="D136" s="28" t="n">
        <f aca="false">D132*$B$115</f>
        <v>109722257.52</v>
      </c>
      <c r="E136" s="28" t="n">
        <f aca="false">E132*$B$115</f>
        <v>311809579.28</v>
      </c>
      <c r="F136" s="28" t="n">
        <f aca="false">F132*$B$115</f>
        <v>799050790.64</v>
      </c>
      <c r="G136" s="28" t="n">
        <f aca="false">G132*$B$115</f>
        <v>1447465939.6</v>
      </c>
      <c r="H136" s="28" t="n">
        <f aca="false">H132*$B$115</f>
        <v>2169649160</v>
      </c>
    </row>
    <row r="137" customFormat="false" ht="15" hidden="false" customHeight="false" outlineLevel="0" collapsed="false">
      <c r="A137" s="27" t="s">
        <v>95</v>
      </c>
      <c r="B137" s="28" t="n">
        <f aca="false">-B113*$B$119</f>
        <v>-500000</v>
      </c>
      <c r="C137" s="28" t="n">
        <f aca="false">-C113*$B$119</f>
        <v>-2000000</v>
      </c>
      <c r="D137" s="28" t="n">
        <f aca="false">-D113*$B$119</f>
        <v>-7500000</v>
      </c>
      <c r="E137" s="28" t="n">
        <f aca="false">-E113*$B$119</f>
        <v>-20000000</v>
      </c>
      <c r="F137" s="28" t="n">
        <f aca="false">-F113*$B$119</f>
        <v>-50000000</v>
      </c>
      <c r="G137" s="28" t="n">
        <f aca="false">-G113*$B$119</f>
        <v>-80000000</v>
      </c>
      <c r="H137" s="28" t="n">
        <f aca="false">-H113*$B$119</f>
        <v>-110000000</v>
      </c>
    </row>
    <row r="138" customFormat="false" ht="15" hidden="false" customHeight="false" outlineLevel="0" collapsed="false">
      <c r="A138" s="27" t="s">
        <v>96</v>
      </c>
      <c r="B138" s="28" t="n">
        <f aca="false">-$B$118</f>
        <v>-5000000</v>
      </c>
      <c r="C138" s="28" t="n">
        <f aca="false">-$B$118</f>
        <v>-5000000</v>
      </c>
      <c r="D138" s="28" t="n">
        <f aca="false">-$B$118</f>
        <v>-5000000</v>
      </c>
      <c r="E138" s="28" t="n">
        <f aca="false">-$B$118</f>
        <v>-5000000</v>
      </c>
      <c r="F138" s="28" t="n">
        <f aca="false">-$B$118</f>
        <v>-5000000</v>
      </c>
      <c r="G138" s="28" t="n">
        <f aca="false">-$B$118</f>
        <v>-5000000</v>
      </c>
      <c r="H138" s="28" t="n">
        <f aca="false">-$B$118</f>
        <v>-5000000</v>
      </c>
    </row>
    <row r="139" customFormat="false" ht="15" hidden="false" customHeight="false" outlineLevel="0" collapsed="false">
      <c r="A139" s="9" t="s">
        <v>97</v>
      </c>
      <c r="B139" s="26" t="n">
        <f aca="false">B136+B137+B138</f>
        <v>698997.600000001</v>
      </c>
      <c r="C139" s="26" t="n">
        <f aca="false">C136+C137+C138</f>
        <v>21515388.96</v>
      </c>
      <c r="D139" s="26" t="n">
        <f aca="false">D136+D137+D138</f>
        <v>97222257.52</v>
      </c>
      <c r="E139" s="26" t="n">
        <f aca="false">E136+E137+E138</f>
        <v>286809579.28</v>
      </c>
      <c r="F139" s="26" t="n">
        <f aca="false">F136+F137+F138</f>
        <v>744050790.64</v>
      </c>
      <c r="G139" s="26" t="n">
        <f aca="false">G136+G137+G138</f>
        <v>1362465939.6</v>
      </c>
      <c r="H139" s="26" t="n">
        <f aca="false">H136+H137+H138</f>
        <v>2054649160</v>
      </c>
    </row>
    <row r="140" customFormat="false" ht="15" hidden="false" customHeight="false" outlineLevel="0" collapsed="false">
      <c r="A140" s="27" t="s">
        <v>98</v>
      </c>
      <c r="B140" s="29" t="n">
        <f aca="false">IF(B135=0,0,B139/B135)</f>
        <v>0.0515601270227554</v>
      </c>
      <c r="C140" s="29" t="n">
        <f aca="false">IF(C135=0,0,C139/C135)</f>
        <v>0.345008396036039</v>
      </c>
      <c r="D140" s="29" t="n">
        <f aca="false">IF(D135=0,0,D139/D135)</f>
        <v>0.40516388695167</v>
      </c>
      <c r="E140" s="29" t="n">
        <f aca="false">IF(E135=0,0,E139/E135)</f>
        <v>0.420594860400725</v>
      </c>
      <c r="F140" s="29" t="n">
        <f aca="false">IF(F135=0,0,F139/F135)</f>
        <v>0.42578264856811</v>
      </c>
      <c r="G140" s="29" t="n">
        <f aca="false">IF(G135=0,0,G139/G135)</f>
        <v>0.430404757538483</v>
      </c>
      <c r="H140" s="29" t="n">
        <f aca="false">IF(H135=0,0,H139/H135)</f>
        <v>0.433019968990687</v>
      </c>
    </row>
    <row r="141" customFormat="false" ht="15" hidden="false" customHeight="false" outlineLevel="0" collapsed="false">
      <c r="A141" s="27" t="s">
        <v>99</v>
      </c>
      <c r="B141" s="28" t="n">
        <f aca="false">-B135*Assumptions!$D$91</f>
        <v>-203354.115</v>
      </c>
      <c r="C141" s="28" t="n">
        <f aca="false">-C135*Assumptions!$D$91</f>
        <v>-935428.929</v>
      </c>
      <c r="D141" s="28" t="n">
        <f aca="false">-D135*Assumptions!$D$91</f>
        <v>-3599367.8355</v>
      </c>
      <c r="E141" s="28" t="n">
        <f aca="false">-E135*Assumptions!$D$91</f>
        <v>-10228711.9845</v>
      </c>
      <c r="F141" s="28" t="n">
        <f aca="false">-F135*Assumptions!$D$91</f>
        <v>-26212345.4235</v>
      </c>
      <c r="G141" s="28" t="n">
        <f aca="false">-G135*Assumptions!$D$91</f>
        <v>-47483185.8525</v>
      </c>
      <c r="H141" s="28" t="n">
        <f aca="false">-H135*Assumptions!$D$91</f>
        <v>-71173940.25</v>
      </c>
    </row>
    <row r="142" customFormat="false" ht="15" hidden="false" customHeight="false" outlineLevel="0" collapsed="false">
      <c r="A142" s="27" t="s">
        <v>100</v>
      </c>
      <c r="B142" s="28" t="n">
        <f aca="false">-B112*$B$116*IF(B113&lt;=2,1,$B$117)</f>
        <v>-5100000</v>
      </c>
      <c r="C142" s="28" t="n">
        <f aca="false">-C112*$B$116*IF(C113&lt;=2,1,$B$117)</f>
        <v>-12240000</v>
      </c>
      <c r="D142" s="28" t="n">
        <f aca="false">-D112*$B$116*IF(D113&lt;=2,1,$B$117)</f>
        <v>-44880000</v>
      </c>
      <c r="E142" s="28" t="n">
        <f aca="false">-E112*$B$116*IF(E113&lt;=2,1,$B$117)</f>
        <v>-102000000</v>
      </c>
      <c r="F142" s="28" t="n">
        <f aca="false">-F112*$B$116*IF(F113&lt;=2,1,$B$117)</f>
        <v>-244800000</v>
      </c>
      <c r="G142" s="28" t="n">
        <f aca="false">-G112*$B$116*IF(G113&lt;=2,1,$B$117)</f>
        <v>-244800000</v>
      </c>
      <c r="H142" s="28" t="n">
        <f aca="false">-H112*$B$116*IF(H113&lt;=2,1,$B$117)</f>
        <v>-244800000</v>
      </c>
    </row>
    <row r="143" customFormat="false" ht="15" hidden="false" customHeight="false" outlineLevel="0" collapsed="false">
      <c r="A143" s="9" t="s">
        <v>101</v>
      </c>
      <c r="B143" s="26" t="n">
        <f aca="false">B139+B141+B142</f>
        <v>-4604356.515</v>
      </c>
      <c r="C143" s="26" t="n">
        <f aca="false">C139+C141+C142</f>
        <v>8339960.031</v>
      </c>
      <c r="D143" s="26" t="n">
        <f aca="false">D139+D141+D142</f>
        <v>48742889.6845</v>
      </c>
      <c r="E143" s="26" t="n">
        <f aca="false">E139+E141+E142</f>
        <v>174580867.2955</v>
      </c>
      <c r="F143" s="26" t="n">
        <f aca="false">F139+F141+F142</f>
        <v>473038445.2165</v>
      </c>
      <c r="G143" s="26" t="n">
        <f aca="false">G139+G141+G142</f>
        <v>1070182753.7475</v>
      </c>
      <c r="H143" s="26" t="n">
        <f aca="false">H139+H141+H142</f>
        <v>1738675219.75</v>
      </c>
    </row>
    <row r="144" customFormat="false" ht="15" hidden="false" customHeight="false" outlineLevel="0" collapsed="false">
      <c r="A144" s="27" t="s">
        <v>102</v>
      </c>
      <c r="B144" s="28" t="n">
        <f aca="false">B143</f>
        <v>-4604356.515</v>
      </c>
      <c r="C144" s="28" t="n">
        <f aca="false">B144+C143</f>
        <v>3735603.516</v>
      </c>
      <c r="D144" s="28" t="n">
        <f aca="false">C144+D143</f>
        <v>52478493.2005</v>
      </c>
      <c r="E144" s="28" t="n">
        <f aca="false">D144+E143</f>
        <v>227059360.496</v>
      </c>
      <c r="F144" s="28" t="n">
        <f aca="false">E144+F143</f>
        <v>700097805.7125</v>
      </c>
      <c r="G144" s="28" t="n">
        <f aca="false">F144+G143</f>
        <v>1770280559.46</v>
      </c>
      <c r="H144" s="28" t="n">
        <f aca="false">G144+H143</f>
        <v>3508955779.21</v>
      </c>
    </row>
    <row r="146" customFormat="false" ht="15" hidden="false" customHeight="false" outlineLevel="0" collapsed="false">
      <c r="A146" s="9" t="s">
        <v>103</v>
      </c>
    </row>
    <row r="147" customFormat="false" ht="15" hidden="false" customHeight="false" outlineLevel="0" collapsed="false">
      <c r="A147" s="9" t="s">
        <v>104</v>
      </c>
      <c r="B147" s="26" t="n">
        <f aca="false">MAX(0,B139)*$B$121</f>
        <v>6290978.40000001</v>
      </c>
      <c r="C147" s="26" t="n">
        <f aca="false">MAX(0,C139)*$B$121</f>
        <v>193638500.64</v>
      </c>
      <c r="D147" s="26" t="n">
        <f aca="false">MAX(0,D139)*$B$121</f>
        <v>875000317.68</v>
      </c>
      <c r="E147" s="26" t="n">
        <f aca="false">MAX(0,E139)*$B$121</f>
        <v>2581286213.52</v>
      </c>
      <c r="F147" s="26" t="n">
        <f aca="false">MAX(0,F139)*$B$121</f>
        <v>6696457115.76</v>
      </c>
      <c r="G147" s="26" t="n">
        <f aca="false">MAX(0,G139)*$B$121</f>
        <v>12262193456.4</v>
      </c>
      <c r="H147" s="26" t="n">
        <f aca="false">MAX(0,H139)*$B$121</f>
        <v>18491842440</v>
      </c>
    </row>
    <row r="148" customFormat="false" ht="15" hidden="false" customHeight="false" outlineLevel="0" collapsed="false">
      <c r="A148" s="27" t="s">
        <v>105</v>
      </c>
      <c r="B148" s="28" t="n">
        <f aca="false">B113*($B$115-$B$119)-$B$118</f>
        <v>6897995.2</v>
      </c>
      <c r="C148" s="28" t="n">
        <f aca="false">C113*($B$115-$B$119)-$B$118</f>
        <v>42591980.8</v>
      </c>
      <c r="D148" s="28" t="n">
        <f aca="false">D113*($B$115-$B$119)-$B$118</f>
        <v>173469928</v>
      </c>
      <c r="E148" s="28" t="n">
        <f aca="false">E113*($B$115-$B$119)-$B$118</f>
        <v>470919808</v>
      </c>
      <c r="F148" s="28" t="n">
        <f aca="false">F113*($B$115-$B$119)-$B$118</f>
        <v>1184799520</v>
      </c>
      <c r="G148" s="28" t="n">
        <f aca="false">G113*($B$115-$B$119)-$B$118</f>
        <v>1898679232</v>
      </c>
      <c r="H148" s="28" t="n">
        <f aca="false">H113*($B$115-$B$119)-$B$118</f>
        <v>2612558944</v>
      </c>
    </row>
    <row r="149" customFormat="false" ht="15" hidden="false" customHeight="false" outlineLevel="0" collapsed="false">
      <c r="A149" s="9" t="s">
        <v>106</v>
      </c>
      <c r="B149" s="26" t="n">
        <f aca="false">MAX(0,B148)*$B$121</f>
        <v>62081956.8</v>
      </c>
      <c r="C149" s="26" t="n">
        <f aca="false">MAX(0,C148)*$B$121</f>
        <v>383327827.2</v>
      </c>
      <c r="D149" s="26" t="n">
        <f aca="false">MAX(0,D148)*$B$121</f>
        <v>1561229352</v>
      </c>
      <c r="E149" s="26" t="n">
        <f aca="false">MAX(0,E148)*$B$121</f>
        <v>4238278272</v>
      </c>
      <c r="F149" s="26" t="n">
        <f aca="false">MAX(0,F148)*$B$121</f>
        <v>10663195680</v>
      </c>
      <c r="G149" s="26" t="n">
        <f aca="false">MAX(0,G148)*$B$121</f>
        <v>17088113088</v>
      </c>
      <c r="H149" s="26" t="n">
        <f aca="false">MAX(0,H148)*$B$121</f>
        <v>23513030496</v>
      </c>
    </row>
    <row r="150" customFormat="false" ht="15" hidden="false" customHeight="false" outlineLevel="0" collapsed="false">
      <c r="A150" s="27" t="s">
        <v>107</v>
      </c>
      <c r="B150" s="28" t="n">
        <f aca="false">B113*$B$122</f>
        <v>4000000</v>
      </c>
      <c r="C150" s="28" t="n">
        <f aca="false">C113*$B$122</f>
        <v>16000000</v>
      </c>
      <c r="D150" s="28" t="n">
        <f aca="false">D113*$B$122</f>
        <v>60000000</v>
      </c>
      <c r="E150" s="28" t="n">
        <f aca="false">E113*$B$122</f>
        <v>160000000</v>
      </c>
      <c r="F150" s="28" t="n">
        <f aca="false">F113*$B$122</f>
        <v>400000000</v>
      </c>
      <c r="G150" s="28" t="n">
        <f aca="false">G113*$B$122</f>
        <v>640000000</v>
      </c>
      <c r="H150" s="28" t="n">
        <f aca="false">H113*$B$122</f>
        <v>880000000</v>
      </c>
    </row>
    <row r="152" customFormat="false" ht="15" hidden="false" customHeight="false" outlineLevel="0" collapsed="false">
      <c r="A152" s="9" t="s">
        <v>108</v>
      </c>
    </row>
    <row r="153" customFormat="false" ht="15" hidden="false" customHeight="false" outlineLevel="0" collapsed="false">
      <c r="A153" s="0" t="s">
        <v>109</v>
      </c>
      <c r="B153" s="10" t="n">
        <f aca="false">$B$115-$B$119</f>
        <v>11897995.2</v>
      </c>
    </row>
    <row r="154" customFormat="false" ht="15" hidden="false" customHeight="false" outlineLevel="0" collapsed="false">
      <c r="A154" s="0" t="s">
        <v>110</v>
      </c>
      <c r="B154" s="30" t="n">
        <f aca="false">IF(B153&lt;=0,"never on EBITDA",ROUNDUP((1000000000/$B$121+$B$118)/B153,0))</f>
        <v>10</v>
      </c>
    </row>
    <row r="155" customFormat="false" ht="15" hidden="false" customHeight="false" outlineLevel="0" collapsed="false">
      <c r="A155" s="0" t="s">
        <v>111</v>
      </c>
      <c r="B155" s="30" t="n">
        <f aca="false">IF(B153&lt;=0,"never on EBITDA",ROUNDUP((10000000000/$B$121+$B$118)/B153,0))</f>
        <v>94</v>
      </c>
    </row>
    <row r="156" customFormat="false" ht="15" hidden="false" customHeight="false" outlineLevel="0" collapsed="false">
      <c r="A156" s="0" t="s">
        <v>112</v>
      </c>
      <c r="B156" s="21" t="n">
        <f aca="false">ROUNDUP(1000000000/$B$122,0)</f>
        <v>250</v>
      </c>
    </row>
    <row r="157" customFormat="false" ht="15" hidden="false" customHeight="false" outlineLevel="0" collapsed="false">
      <c r="A157" s="0" t="s">
        <v>113</v>
      </c>
      <c r="B157" s="0" t="str">
        <f aca="false">IF(ISNUMBER(B155),IF(B155&gt;$B$120,"exceeds pool — needs "&amp;B155&amp;" boxes vs "&amp;$B$120,"within pool"),"n/a")</f>
        <v>within pool</v>
      </c>
    </row>
    <row r="158" customFormat="false" ht="15" hidden="false" customHeight="false" outlineLevel="0" collapsed="false">
      <c r="A158" s="0" t="s">
        <v>50</v>
      </c>
      <c r="B158" s="0" t="str">
        <f aca="false">IFERROR(INDEX($B$111:$H$111,MATCH(TRUE(),INDEX(B149:H149&gt;=1000000000,0),0)),"not by Y7")</f>
        <v>Y3</v>
      </c>
    </row>
    <row r="159" customFormat="false" ht="15" hidden="false" customHeight="false" outlineLevel="0" collapsed="false">
      <c r="A159" s="0" t="s">
        <v>51</v>
      </c>
      <c r="B159" s="0" t="str">
        <f aca="false">IFERROR(INDEX($B$111:$H$111,MATCH(TRUE(),INDEX(B149:H149&gt;=10000000000,0),0)),"not by Y7")</f>
        <v>Y5</v>
      </c>
    </row>
    <row r="160" customFormat="false" ht="15" hidden="false" customHeight="false" outlineLevel="0" collapsed="false">
      <c r="A160" s="0" t="s">
        <v>114</v>
      </c>
      <c r="B160" s="10" t="n">
        <f aca="false">-MIN(B144:H144)</f>
        <v>4604356.515</v>
      </c>
    </row>
  </sheetData>
  <mergeCells count="1">
    <mergeCell ref="A2:J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6"/>
    <col collapsed="false" customWidth="true" hidden="false" outlineLevel="0" max="4" min="2" style="0" width="15"/>
    <col collapsed="false" customWidth="true" hidden="false" outlineLevel="0" max="5" min="5" style="0" width="75"/>
  </cols>
  <sheetData>
    <row r="1" customFormat="false" ht="16.15" hidden="false" customHeight="false" outlineLevel="0" collapsed="false">
      <c r="A1" s="1" t="s">
        <v>119</v>
      </c>
    </row>
    <row r="2" customFormat="false" ht="54.75" hidden="false" customHeight="true" outlineLevel="0" collapsed="false">
      <c r="A2" s="17" t="s">
        <v>120</v>
      </c>
      <c r="B2" s="17"/>
      <c r="C2" s="17"/>
      <c r="D2" s="17"/>
      <c r="E2" s="17"/>
    </row>
    <row r="3" customFormat="false" ht="15" hidden="false" customHeight="false" outlineLevel="0" collapsed="false">
      <c r="A3" s="3" t="s">
        <v>121</v>
      </c>
      <c r="B3" s="3" t="s">
        <v>3</v>
      </c>
      <c r="C3" s="3" t="s">
        <v>4</v>
      </c>
      <c r="D3" s="3" t="s">
        <v>5</v>
      </c>
      <c r="E3" s="3" t="s">
        <v>122</v>
      </c>
    </row>
    <row r="4" customFormat="false" ht="15" hidden="false" customHeight="false" outlineLevel="0" collapsed="false">
      <c r="A4" s="31" t="s">
        <v>123</v>
      </c>
      <c r="B4" s="32"/>
      <c r="C4" s="32"/>
      <c r="D4" s="32"/>
      <c r="E4" s="32"/>
    </row>
    <row r="5" customFormat="false" ht="15" hidden="false" customHeight="false" outlineLevel="0" collapsed="false">
      <c r="A5" s="27" t="s">
        <v>124</v>
      </c>
      <c r="B5" s="19" t="n">
        <v>100000</v>
      </c>
      <c r="C5" s="19" t="n">
        <v>100000</v>
      </c>
      <c r="D5" s="19" t="n">
        <v>100000</v>
      </c>
      <c r="E5" s="2" t="s">
        <v>125</v>
      </c>
    </row>
    <row r="6" customFormat="false" ht="15" hidden="false" customHeight="false" outlineLevel="0" collapsed="false">
      <c r="A6" s="27" t="s">
        <v>126</v>
      </c>
      <c r="B6" s="19" t="n">
        <v>92000</v>
      </c>
      <c r="C6" s="19" t="n">
        <v>92000</v>
      </c>
      <c r="D6" s="19" t="n">
        <v>92000</v>
      </c>
      <c r="E6" s="2" t="s">
        <v>127</v>
      </c>
    </row>
    <row r="7" customFormat="false" ht="15" hidden="false" customHeight="false" outlineLevel="0" collapsed="false">
      <c r="A7" s="27" t="s">
        <v>128</v>
      </c>
      <c r="B7" s="19" t="n">
        <v>33333</v>
      </c>
      <c r="C7" s="19" t="n">
        <v>33333</v>
      </c>
      <c r="D7" s="19" t="n">
        <v>33333</v>
      </c>
      <c r="E7" s="2" t="s">
        <v>129</v>
      </c>
    </row>
    <row r="8" customFormat="false" ht="15" hidden="false" customHeight="false" outlineLevel="0" collapsed="false">
      <c r="A8" s="27" t="s">
        <v>130</v>
      </c>
      <c r="B8" s="19" t="n">
        <v>29000</v>
      </c>
      <c r="C8" s="19" t="n">
        <v>29000</v>
      </c>
      <c r="D8" s="19" t="n">
        <v>29000</v>
      </c>
      <c r="E8" s="2" t="s">
        <v>131</v>
      </c>
    </row>
    <row r="9" customFormat="false" ht="15" hidden="false" customHeight="false" outlineLevel="0" collapsed="false">
      <c r="A9" s="27" t="s">
        <v>132</v>
      </c>
      <c r="B9" s="19" t="n">
        <v>12535</v>
      </c>
      <c r="C9" s="19" t="n">
        <v>12535</v>
      </c>
      <c r="D9" s="19" t="n">
        <v>12535</v>
      </c>
      <c r="E9" s="2" t="s">
        <v>133</v>
      </c>
    </row>
    <row r="10" customFormat="false" ht="15" hidden="false" customHeight="false" outlineLevel="0" collapsed="false">
      <c r="A10" s="27" t="s">
        <v>134</v>
      </c>
      <c r="B10" s="19" t="n">
        <v>4500</v>
      </c>
      <c r="C10" s="19" t="n">
        <v>4500</v>
      </c>
      <c r="D10" s="19" t="n">
        <v>4500</v>
      </c>
      <c r="E10" s="2" t="s">
        <v>135</v>
      </c>
    </row>
    <row r="11" customFormat="false" ht="15" hidden="false" customHeight="false" outlineLevel="0" collapsed="false">
      <c r="A11" s="27" t="s">
        <v>136</v>
      </c>
      <c r="B11" s="19" t="n">
        <v>5302</v>
      </c>
      <c r="C11" s="19" t="n">
        <v>5302</v>
      </c>
      <c r="D11" s="19" t="n">
        <v>5302</v>
      </c>
      <c r="E11" s="2" t="s">
        <v>137</v>
      </c>
    </row>
    <row r="12" customFormat="false" ht="15" hidden="false" customHeight="false" outlineLevel="0" collapsed="false">
      <c r="A12" s="27" t="s">
        <v>138</v>
      </c>
      <c r="B12" s="19" t="n">
        <v>4502</v>
      </c>
      <c r="C12" s="19" t="n">
        <v>4502</v>
      </c>
      <c r="D12" s="19" t="n">
        <v>4502</v>
      </c>
      <c r="E12" s="2" t="s">
        <v>139</v>
      </c>
    </row>
    <row r="13" customFormat="false" ht="15" hidden="false" customHeight="false" outlineLevel="0" collapsed="false">
      <c r="A13" s="31" t="s">
        <v>140</v>
      </c>
      <c r="B13" s="32"/>
      <c r="C13" s="32"/>
      <c r="D13" s="32"/>
      <c r="E13" s="32"/>
    </row>
    <row r="14" customFormat="false" ht="15" hidden="false" customHeight="false" outlineLevel="0" collapsed="false">
      <c r="A14" s="27" t="s">
        <v>141</v>
      </c>
      <c r="B14" s="19" t="n">
        <v>300</v>
      </c>
      <c r="C14" s="19" t="n">
        <v>300</v>
      </c>
      <c r="D14" s="19" t="n">
        <v>300</v>
      </c>
      <c r="E14" s="2" t="s">
        <v>142</v>
      </c>
    </row>
    <row r="15" customFormat="false" ht="15" hidden="false" customHeight="false" outlineLevel="0" collapsed="false">
      <c r="A15" s="27" t="s">
        <v>143</v>
      </c>
      <c r="B15" s="19" t="n">
        <v>360</v>
      </c>
      <c r="C15" s="19" t="n">
        <v>360</v>
      </c>
      <c r="D15" s="19" t="n">
        <v>360</v>
      </c>
      <c r="E15" s="2" t="s">
        <v>144</v>
      </c>
    </row>
    <row r="16" customFormat="false" ht="15" hidden="false" customHeight="false" outlineLevel="0" collapsed="false">
      <c r="A16" s="27" t="s">
        <v>145</v>
      </c>
      <c r="B16" s="12" t="n">
        <v>0.25</v>
      </c>
      <c r="C16" s="12" t="n">
        <v>0.4</v>
      </c>
      <c r="D16" s="12" t="n">
        <v>0.55</v>
      </c>
      <c r="E16" s="2" t="s">
        <v>146</v>
      </c>
    </row>
    <row r="17" customFormat="false" ht="15" hidden="false" customHeight="false" outlineLevel="0" collapsed="false">
      <c r="A17" s="27" t="s">
        <v>147</v>
      </c>
      <c r="B17" s="23" t="n">
        <v>100</v>
      </c>
      <c r="C17" s="23" t="n">
        <v>130</v>
      </c>
      <c r="D17" s="23" t="n">
        <v>130</v>
      </c>
      <c r="E17" s="2" t="s">
        <v>148</v>
      </c>
    </row>
    <row r="18" customFormat="false" ht="15" hidden="false" customHeight="false" outlineLevel="0" collapsed="false">
      <c r="A18" s="27" t="s">
        <v>149</v>
      </c>
      <c r="B18" s="23" t="n">
        <v>160</v>
      </c>
      <c r="C18" s="23" t="n">
        <v>200</v>
      </c>
      <c r="D18" s="23" t="n">
        <v>200</v>
      </c>
      <c r="E18" s="2" t="s">
        <v>150</v>
      </c>
    </row>
    <row r="19" customFormat="false" ht="15" hidden="false" customHeight="false" outlineLevel="0" collapsed="false">
      <c r="A19" s="27" t="s">
        <v>151</v>
      </c>
      <c r="B19" s="12" t="n">
        <v>0.05</v>
      </c>
      <c r="C19" s="12" t="n">
        <v>0.15</v>
      </c>
      <c r="D19" s="12" t="n">
        <v>0.15</v>
      </c>
      <c r="E19" s="2" t="s">
        <v>152</v>
      </c>
    </row>
    <row r="20" customFormat="false" ht="15" hidden="false" customHeight="false" outlineLevel="0" collapsed="false">
      <c r="A20" s="27" t="s">
        <v>153</v>
      </c>
      <c r="B20" s="12" t="n">
        <v>0.45</v>
      </c>
      <c r="C20" s="12" t="n">
        <v>0.4</v>
      </c>
      <c r="D20" s="12" t="n">
        <v>0.35</v>
      </c>
      <c r="E20" s="2" t="s">
        <v>154</v>
      </c>
    </row>
    <row r="21" customFormat="false" ht="15" hidden="false" customHeight="false" outlineLevel="0" collapsed="false">
      <c r="A21" s="27" t="s">
        <v>155</v>
      </c>
      <c r="B21" s="19" t="n">
        <v>30</v>
      </c>
      <c r="C21" s="19" t="n">
        <v>30</v>
      </c>
      <c r="D21" s="19" t="n">
        <v>30</v>
      </c>
      <c r="E21" s="2" t="s">
        <v>156</v>
      </c>
    </row>
    <row r="22" customFormat="false" ht="15" hidden="false" customHeight="false" outlineLevel="0" collapsed="false">
      <c r="A22" s="27" t="s">
        <v>157</v>
      </c>
      <c r="B22" s="23" t="n">
        <v>1500</v>
      </c>
      <c r="C22" s="23" t="n">
        <v>2000</v>
      </c>
      <c r="D22" s="23" t="n">
        <v>2500</v>
      </c>
      <c r="E22" s="2" t="s">
        <v>158</v>
      </c>
    </row>
    <row r="23" customFormat="false" ht="15" hidden="false" customHeight="false" outlineLevel="0" collapsed="false">
      <c r="A23" s="27" t="s">
        <v>159</v>
      </c>
      <c r="B23" s="12" t="n">
        <v>0.65</v>
      </c>
      <c r="C23" s="12" t="n">
        <v>0.85</v>
      </c>
      <c r="D23" s="12" t="n">
        <v>0.95</v>
      </c>
      <c r="E23" s="2"/>
    </row>
    <row r="24" customFormat="false" ht="15" hidden="false" customHeight="false" outlineLevel="0" collapsed="false">
      <c r="A24" s="27" t="s">
        <v>160</v>
      </c>
      <c r="B24" s="19" t="n">
        <v>100</v>
      </c>
      <c r="C24" s="19" t="n">
        <v>100</v>
      </c>
      <c r="D24" s="19" t="n">
        <v>100</v>
      </c>
      <c r="E24" s="2" t="s">
        <v>161</v>
      </c>
    </row>
    <row r="25" customFormat="false" ht="15" hidden="false" customHeight="false" outlineLevel="0" collapsed="false">
      <c r="A25" s="27" t="s">
        <v>162</v>
      </c>
      <c r="B25" s="23" t="n">
        <v>60</v>
      </c>
      <c r="C25" s="23" t="n">
        <v>80</v>
      </c>
      <c r="D25" s="23" t="n">
        <v>80</v>
      </c>
      <c r="E25" s="2" t="s">
        <v>163</v>
      </c>
    </row>
    <row r="26" customFormat="false" ht="15" hidden="false" customHeight="false" outlineLevel="0" collapsed="false">
      <c r="A26" s="27" t="s">
        <v>164</v>
      </c>
      <c r="B26" s="12" t="n">
        <v>0.15</v>
      </c>
      <c r="C26" s="12" t="n">
        <v>0.25</v>
      </c>
      <c r="D26" s="12" t="n">
        <v>0.3</v>
      </c>
      <c r="E26" s="2" t="s">
        <v>165</v>
      </c>
    </row>
    <row r="27" customFormat="false" ht="15" hidden="false" customHeight="false" outlineLevel="0" collapsed="false">
      <c r="A27" s="27" t="s">
        <v>166</v>
      </c>
      <c r="B27" s="12" t="n">
        <v>0.3</v>
      </c>
      <c r="C27" s="12" t="n">
        <v>0.3</v>
      </c>
      <c r="D27" s="12" t="n">
        <v>0.28</v>
      </c>
      <c r="E27" s="2" t="s">
        <v>167</v>
      </c>
    </row>
    <row r="28" customFormat="false" ht="15" hidden="false" customHeight="false" outlineLevel="0" collapsed="false">
      <c r="A28" s="31" t="s">
        <v>168</v>
      </c>
      <c r="B28" s="32"/>
      <c r="C28" s="32"/>
      <c r="D28" s="32"/>
      <c r="E28" s="32"/>
    </row>
    <row r="29" customFormat="false" ht="15" hidden="false" customHeight="false" outlineLevel="0" collapsed="false">
      <c r="A29" s="27" t="s">
        <v>169</v>
      </c>
      <c r="B29" s="19" t="n">
        <v>12</v>
      </c>
      <c r="C29" s="19" t="n">
        <v>12</v>
      </c>
      <c r="D29" s="19" t="n">
        <v>12</v>
      </c>
      <c r="E29" s="2" t="s">
        <v>170</v>
      </c>
    </row>
    <row r="30" customFormat="false" ht="15" hidden="false" customHeight="false" outlineLevel="0" collapsed="false">
      <c r="A30" s="27" t="s">
        <v>171</v>
      </c>
      <c r="B30" s="23" t="n">
        <v>1000</v>
      </c>
      <c r="C30" s="23" t="n">
        <v>1500</v>
      </c>
      <c r="D30" s="23" t="n">
        <v>2000</v>
      </c>
      <c r="E30" s="2" t="s">
        <v>172</v>
      </c>
    </row>
    <row r="31" customFormat="false" ht="15" hidden="false" customHeight="false" outlineLevel="0" collapsed="false">
      <c r="A31" s="27" t="s">
        <v>173</v>
      </c>
      <c r="B31" s="19" t="n">
        <v>36</v>
      </c>
      <c r="C31" s="19" t="n">
        <v>36</v>
      </c>
      <c r="D31" s="19" t="n">
        <v>36</v>
      </c>
      <c r="E31" s="2" t="s">
        <v>174</v>
      </c>
    </row>
    <row r="32" customFormat="false" ht="15" hidden="false" customHeight="false" outlineLevel="0" collapsed="false">
      <c r="A32" s="27" t="s">
        <v>175</v>
      </c>
      <c r="B32" s="23" t="n">
        <v>600</v>
      </c>
      <c r="C32" s="23" t="n">
        <v>800</v>
      </c>
      <c r="D32" s="23" t="n">
        <v>1000</v>
      </c>
      <c r="E32" s="2" t="s">
        <v>176</v>
      </c>
    </row>
    <row r="33" customFormat="false" ht="15" hidden="false" customHeight="false" outlineLevel="0" collapsed="false">
      <c r="A33" s="27" t="s">
        <v>177</v>
      </c>
      <c r="B33" s="19" t="n">
        <v>51</v>
      </c>
      <c r="C33" s="19" t="n">
        <v>51</v>
      </c>
      <c r="D33" s="19" t="n">
        <v>51</v>
      </c>
      <c r="E33" s="2" t="s">
        <v>178</v>
      </c>
    </row>
    <row r="34" customFormat="false" ht="15" hidden="false" customHeight="false" outlineLevel="0" collapsed="false">
      <c r="A34" s="27" t="s">
        <v>179</v>
      </c>
      <c r="B34" s="23" t="n">
        <v>180</v>
      </c>
      <c r="C34" s="23" t="n">
        <v>250</v>
      </c>
      <c r="D34" s="23" t="n">
        <v>320</v>
      </c>
      <c r="E34" s="2" t="s">
        <v>180</v>
      </c>
    </row>
    <row r="35" customFormat="false" ht="15" hidden="false" customHeight="false" outlineLevel="0" collapsed="false">
      <c r="A35" s="27" t="s">
        <v>181</v>
      </c>
      <c r="B35" s="19" t="n">
        <v>25</v>
      </c>
      <c r="C35" s="19" t="n">
        <v>25</v>
      </c>
      <c r="D35" s="19" t="n">
        <v>25</v>
      </c>
      <c r="E35" s="2" t="s">
        <v>182</v>
      </c>
    </row>
    <row r="36" customFormat="false" ht="15" hidden="false" customHeight="false" outlineLevel="0" collapsed="false">
      <c r="A36" s="27" t="s">
        <v>183</v>
      </c>
      <c r="B36" s="23" t="n">
        <v>250</v>
      </c>
      <c r="C36" s="23" t="n">
        <v>350</v>
      </c>
      <c r="D36" s="23" t="n">
        <v>450</v>
      </c>
      <c r="E36" s="2" t="s">
        <v>180</v>
      </c>
    </row>
    <row r="37" customFormat="false" ht="15" hidden="false" customHeight="false" outlineLevel="0" collapsed="false">
      <c r="A37" s="27" t="s">
        <v>184</v>
      </c>
      <c r="B37" s="12" t="n">
        <v>0.6</v>
      </c>
      <c r="C37" s="12" t="n">
        <v>0.8</v>
      </c>
      <c r="D37" s="12" t="n">
        <v>0.9</v>
      </c>
      <c r="E37" s="2" t="s">
        <v>185</v>
      </c>
    </row>
    <row r="38" customFormat="false" ht="15" hidden="false" customHeight="false" outlineLevel="0" collapsed="false">
      <c r="A38" s="27" t="s">
        <v>186</v>
      </c>
      <c r="B38" s="12" t="n">
        <v>0.7</v>
      </c>
      <c r="C38" s="12" t="n">
        <v>0.6</v>
      </c>
      <c r="D38" s="12" t="n">
        <v>0.55</v>
      </c>
      <c r="E38" s="2" t="s">
        <v>187</v>
      </c>
    </row>
    <row r="39" customFormat="false" ht="15" hidden="false" customHeight="false" outlineLevel="0" collapsed="false">
      <c r="A39" s="31" t="s">
        <v>188</v>
      </c>
      <c r="B39" s="32"/>
      <c r="C39" s="32"/>
      <c r="D39" s="32"/>
      <c r="E39" s="32"/>
    </row>
    <row r="40" customFormat="false" ht="15" hidden="false" customHeight="false" outlineLevel="0" collapsed="false">
      <c r="A40" s="27" t="s">
        <v>189</v>
      </c>
      <c r="B40" s="19" t="n">
        <v>2</v>
      </c>
      <c r="C40" s="19" t="n">
        <v>3</v>
      </c>
      <c r="D40" s="19" t="n">
        <v>4</v>
      </c>
      <c r="E40" s="2" t="s">
        <v>190</v>
      </c>
    </row>
    <row r="41" customFormat="false" ht="15" hidden="false" customHeight="false" outlineLevel="0" collapsed="false">
      <c r="A41" s="27" t="s">
        <v>191</v>
      </c>
      <c r="B41" s="12" t="n">
        <v>0.4</v>
      </c>
      <c r="C41" s="12" t="n">
        <v>0.6</v>
      </c>
      <c r="D41" s="12" t="n">
        <v>0.75</v>
      </c>
      <c r="E41" s="2"/>
    </row>
    <row r="42" customFormat="false" ht="15" hidden="false" customHeight="false" outlineLevel="0" collapsed="false">
      <c r="A42" s="27" t="s">
        <v>192</v>
      </c>
      <c r="B42" s="23" t="n">
        <v>300</v>
      </c>
      <c r="C42" s="23" t="n">
        <v>500</v>
      </c>
      <c r="D42" s="23" t="n">
        <v>700</v>
      </c>
      <c r="E42" s="2" t="s">
        <v>193</v>
      </c>
    </row>
    <row r="43" customFormat="false" ht="15" hidden="false" customHeight="false" outlineLevel="0" collapsed="false">
      <c r="A43" s="27" t="s">
        <v>194</v>
      </c>
      <c r="B43" s="23" t="n">
        <v>3000</v>
      </c>
      <c r="C43" s="23" t="n">
        <v>6000</v>
      </c>
      <c r="D43" s="23" t="n">
        <v>10000</v>
      </c>
      <c r="E43" s="2" t="s">
        <v>180</v>
      </c>
    </row>
    <row r="44" customFormat="false" ht="15" hidden="false" customHeight="false" outlineLevel="0" collapsed="false">
      <c r="A44" s="27" t="s">
        <v>195</v>
      </c>
      <c r="B44" s="19" t="n">
        <v>4</v>
      </c>
      <c r="C44" s="19" t="n">
        <v>4</v>
      </c>
      <c r="D44" s="19" t="n">
        <v>4</v>
      </c>
      <c r="E44" s="2" t="s">
        <v>196</v>
      </c>
    </row>
    <row r="45" customFormat="false" ht="15" hidden="false" customHeight="false" outlineLevel="0" collapsed="false">
      <c r="A45" s="27" t="s">
        <v>197</v>
      </c>
      <c r="B45" s="23" t="n">
        <v>80</v>
      </c>
      <c r="C45" s="23" t="n">
        <v>120</v>
      </c>
      <c r="D45" s="23" t="n">
        <v>160</v>
      </c>
      <c r="E45" s="2" t="s">
        <v>180</v>
      </c>
    </row>
    <row r="46" customFormat="false" ht="15" hidden="false" customHeight="false" outlineLevel="0" collapsed="false">
      <c r="A46" s="27" t="s">
        <v>198</v>
      </c>
      <c r="B46" s="19" t="n">
        <v>8</v>
      </c>
      <c r="C46" s="19" t="n">
        <v>8</v>
      </c>
      <c r="D46" s="19" t="n">
        <v>8</v>
      </c>
      <c r="E46" s="2" t="s">
        <v>199</v>
      </c>
    </row>
    <row r="47" customFormat="false" ht="15" hidden="false" customHeight="false" outlineLevel="0" collapsed="false">
      <c r="A47" s="27" t="s">
        <v>200</v>
      </c>
      <c r="B47" s="23" t="n">
        <v>40</v>
      </c>
      <c r="C47" s="23" t="n">
        <v>60</v>
      </c>
      <c r="D47" s="23" t="n">
        <v>80</v>
      </c>
      <c r="E47" s="2" t="s">
        <v>180</v>
      </c>
    </row>
    <row r="48" customFormat="false" ht="15" hidden="false" customHeight="false" outlineLevel="0" collapsed="false">
      <c r="A48" s="27" t="s">
        <v>201</v>
      </c>
      <c r="B48" s="12" t="n">
        <v>0.35</v>
      </c>
      <c r="C48" s="12" t="n">
        <v>0.55</v>
      </c>
      <c r="D48" s="12" t="n">
        <v>0.7</v>
      </c>
      <c r="E48" s="2"/>
    </row>
    <row r="49" customFormat="false" ht="15" hidden="false" customHeight="false" outlineLevel="0" collapsed="false">
      <c r="A49" s="27" t="s">
        <v>202</v>
      </c>
      <c r="B49" s="23" t="n">
        <v>800</v>
      </c>
      <c r="C49" s="23" t="n">
        <v>1500</v>
      </c>
      <c r="D49" s="23" t="n">
        <v>2500</v>
      </c>
      <c r="E49" s="2" t="s">
        <v>180</v>
      </c>
    </row>
    <row r="50" customFormat="false" ht="15" hidden="false" customHeight="false" outlineLevel="0" collapsed="false">
      <c r="A50" s="27" t="s">
        <v>203</v>
      </c>
      <c r="B50" s="12" t="n">
        <v>0.08</v>
      </c>
      <c r="C50" s="12" t="n">
        <v>0.1</v>
      </c>
      <c r="D50" s="12" t="n">
        <v>0.12</v>
      </c>
      <c r="E50" s="2" t="s">
        <v>204</v>
      </c>
    </row>
    <row r="51" customFormat="false" ht="15" hidden="false" customHeight="false" outlineLevel="0" collapsed="false">
      <c r="A51" s="27" t="s">
        <v>205</v>
      </c>
      <c r="B51" s="12" t="n">
        <v>0.6</v>
      </c>
      <c r="C51" s="12" t="n">
        <v>0.55</v>
      </c>
      <c r="D51" s="12" t="n">
        <v>0.5</v>
      </c>
      <c r="E51" s="2" t="s">
        <v>206</v>
      </c>
    </row>
    <row r="52" customFormat="false" ht="15" hidden="false" customHeight="false" outlineLevel="0" collapsed="false">
      <c r="A52" s="31" t="s">
        <v>207</v>
      </c>
      <c r="B52" s="32"/>
      <c r="C52" s="32"/>
      <c r="D52" s="32"/>
      <c r="E52" s="32"/>
    </row>
    <row r="53" customFormat="false" ht="15" hidden="false" customHeight="false" outlineLevel="0" collapsed="false">
      <c r="A53" s="27" t="s">
        <v>208</v>
      </c>
      <c r="B53" s="23" t="n">
        <v>200</v>
      </c>
      <c r="C53" s="23" t="n">
        <v>350</v>
      </c>
      <c r="D53" s="23" t="n">
        <v>500</v>
      </c>
      <c r="E53" s="2" t="s">
        <v>209</v>
      </c>
    </row>
    <row r="54" customFormat="false" ht="15" hidden="false" customHeight="false" outlineLevel="0" collapsed="false">
      <c r="A54" s="27" t="s">
        <v>210</v>
      </c>
      <c r="B54" s="23" t="n">
        <v>8000</v>
      </c>
      <c r="C54" s="23" t="n">
        <v>15000</v>
      </c>
      <c r="D54" s="23" t="n">
        <v>22000</v>
      </c>
      <c r="E54" s="2" t="s">
        <v>180</v>
      </c>
    </row>
    <row r="55" customFormat="false" ht="15" hidden="false" customHeight="false" outlineLevel="0" collapsed="false">
      <c r="A55" s="27" t="s">
        <v>211</v>
      </c>
      <c r="B55" s="12" t="n">
        <v>0.06</v>
      </c>
      <c r="C55" s="12" t="n">
        <v>0.08</v>
      </c>
      <c r="D55" s="12" t="n">
        <v>0.1</v>
      </c>
      <c r="E55" s="2" t="s">
        <v>212</v>
      </c>
    </row>
    <row r="56" customFormat="false" ht="15" hidden="false" customHeight="false" outlineLevel="0" collapsed="false">
      <c r="A56" s="27" t="s">
        <v>213</v>
      </c>
      <c r="B56" s="19" t="n">
        <v>14</v>
      </c>
      <c r="C56" s="19" t="n">
        <v>14</v>
      </c>
      <c r="D56" s="19" t="n">
        <v>14</v>
      </c>
      <c r="E56" s="2" t="s">
        <v>214</v>
      </c>
    </row>
    <row r="57" customFormat="false" ht="15" hidden="false" customHeight="false" outlineLevel="0" collapsed="false">
      <c r="A57" s="27" t="s">
        <v>215</v>
      </c>
      <c r="B57" s="19" t="n">
        <v>15</v>
      </c>
      <c r="C57" s="19" t="n">
        <v>30</v>
      </c>
      <c r="D57" s="19" t="n">
        <v>45</v>
      </c>
      <c r="E57" s="2" t="s">
        <v>180</v>
      </c>
    </row>
    <row r="58" customFormat="false" ht="15" hidden="false" customHeight="false" outlineLevel="0" collapsed="false">
      <c r="A58" s="27" t="s">
        <v>216</v>
      </c>
      <c r="B58" s="33" t="n">
        <v>3</v>
      </c>
      <c r="C58" s="33" t="n">
        <v>4</v>
      </c>
      <c r="D58" s="33" t="n">
        <v>5</v>
      </c>
      <c r="E58" s="2" t="s">
        <v>217</v>
      </c>
    </row>
    <row r="59" customFormat="false" ht="15" hidden="false" customHeight="false" outlineLevel="0" collapsed="false">
      <c r="A59" s="27" t="s">
        <v>218</v>
      </c>
      <c r="B59" s="19" t="n">
        <v>1001</v>
      </c>
      <c r="C59" s="19" t="n">
        <v>1001</v>
      </c>
      <c r="D59" s="19" t="n">
        <v>1001</v>
      </c>
      <c r="E59" s="2" t="s">
        <v>219</v>
      </c>
    </row>
    <row r="60" customFormat="false" ht="15" hidden="false" customHeight="false" outlineLevel="0" collapsed="false">
      <c r="A60" s="27" t="s">
        <v>220</v>
      </c>
      <c r="B60" s="19" t="n">
        <v>60</v>
      </c>
      <c r="C60" s="19" t="n">
        <v>120</v>
      </c>
      <c r="D60" s="19" t="n">
        <v>180</v>
      </c>
      <c r="E60" s="2" t="s">
        <v>180</v>
      </c>
    </row>
    <row r="61" customFormat="false" ht="15" hidden="false" customHeight="false" outlineLevel="0" collapsed="false">
      <c r="A61" s="27" t="s">
        <v>221</v>
      </c>
      <c r="B61" s="33" t="n">
        <v>1.5</v>
      </c>
      <c r="C61" s="33" t="n">
        <v>2</v>
      </c>
      <c r="D61" s="33" t="n">
        <v>2.5</v>
      </c>
      <c r="E61" s="2" t="s">
        <v>180</v>
      </c>
    </row>
    <row r="62" customFormat="false" ht="15" hidden="false" customHeight="false" outlineLevel="0" collapsed="false">
      <c r="A62" s="27" t="s">
        <v>222</v>
      </c>
      <c r="B62" s="12" t="n">
        <v>0.2</v>
      </c>
      <c r="C62" s="12" t="n">
        <v>0.18</v>
      </c>
      <c r="D62" s="12" t="n">
        <v>0.15</v>
      </c>
      <c r="E62" s="2" t="s">
        <v>223</v>
      </c>
    </row>
    <row r="63" customFormat="false" ht="15" hidden="false" customHeight="false" outlineLevel="0" collapsed="false">
      <c r="A63" s="31" t="s">
        <v>224</v>
      </c>
      <c r="B63" s="32"/>
      <c r="C63" s="32"/>
      <c r="D63" s="32"/>
      <c r="E63" s="32"/>
    </row>
    <row r="64" customFormat="false" ht="15" hidden="false" customHeight="false" outlineLevel="0" collapsed="false">
      <c r="A64" s="27" t="s">
        <v>225</v>
      </c>
      <c r="B64" s="19" t="n">
        <v>420</v>
      </c>
      <c r="C64" s="19" t="n">
        <v>420</v>
      </c>
      <c r="D64" s="19" t="n">
        <v>420</v>
      </c>
      <c r="E64" s="2" t="s">
        <v>226</v>
      </c>
    </row>
    <row r="65" customFormat="false" ht="15" hidden="false" customHeight="false" outlineLevel="0" collapsed="false">
      <c r="A65" s="27" t="s">
        <v>227</v>
      </c>
      <c r="B65" s="23" t="n">
        <v>120</v>
      </c>
      <c r="C65" s="23" t="n">
        <v>180</v>
      </c>
      <c r="D65" s="23" t="n">
        <v>240</v>
      </c>
      <c r="E65" s="2" t="s">
        <v>228</v>
      </c>
    </row>
    <row r="66" customFormat="false" ht="15" hidden="false" customHeight="false" outlineLevel="0" collapsed="false">
      <c r="A66" s="27" t="s">
        <v>229</v>
      </c>
      <c r="B66" s="12" t="n">
        <v>0.5</v>
      </c>
      <c r="C66" s="12" t="n">
        <v>0.7</v>
      </c>
      <c r="D66" s="12" t="n">
        <v>0.85</v>
      </c>
      <c r="E66" s="2" t="s">
        <v>230</v>
      </c>
    </row>
    <row r="67" customFormat="false" ht="15" hidden="false" customHeight="false" outlineLevel="0" collapsed="false">
      <c r="A67" s="27" t="s">
        <v>231</v>
      </c>
      <c r="B67" s="12" t="n">
        <v>0.35</v>
      </c>
      <c r="C67" s="12" t="n">
        <v>0.3</v>
      </c>
      <c r="D67" s="12" t="n">
        <v>0.25</v>
      </c>
      <c r="E67" s="2" t="s">
        <v>232</v>
      </c>
    </row>
    <row r="68" customFormat="false" ht="15" hidden="false" customHeight="false" outlineLevel="0" collapsed="false">
      <c r="A68" s="31" t="s">
        <v>233</v>
      </c>
      <c r="B68" s="32"/>
      <c r="C68" s="32"/>
      <c r="D68" s="32"/>
      <c r="E68" s="32"/>
    </row>
    <row r="69" customFormat="false" ht="15" hidden="false" customHeight="false" outlineLevel="0" collapsed="false">
      <c r="A69" s="27" t="s">
        <v>234</v>
      </c>
      <c r="B69" s="23" t="n">
        <v>4</v>
      </c>
      <c r="C69" s="23" t="n">
        <v>8</v>
      </c>
      <c r="D69" s="23" t="n">
        <v>11</v>
      </c>
      <c r="E69" s="2" t="s">
        <v>235</v>
      </c>
    </row>
    <row r="70" customFormat="false" ht="15" hidden="false" customHeight="false" outlineLevel="0" collapsed="false">
      <c r="A70" s="27" t="s">
        <v>231</v>
      </c>
      <c r="B70" s="12" t="n">
        <v>0.4</v>
      </c>
      <c r="C70" s="12" t="n">
        <v>0.35</v>
      </c>
      <c r="D70" s="12" t="n">
        <v>0.32</v>
      </c>
      <c r="E70" s="2" t="s">
        <v>236</v>
      </c>
    </row>
    <row r="71" customFormat="false" ht="15" hidden="false" customHeight="false" outlineLevel="0" collapsed="false">
      <c r="A71" s="31" t="s">
        <v>237</v>
      </c>
      <c r="B71" s="32"/>
      <c r="C71" s="32"/>
      <c r="D71" s="32"/>
      <c r="E71" s="32"/>
    </row>
    <row r="72" customFormat="false" ht="15" hidden="false" customHeight="false" outlineLevel="0" collapsed="false">
      <c r="A72" s="27" t="s">
        <v>238</v>
      </c>
      <c r="B72" s="19" t="n">
        <v>500000</v>
      </c>
      <c r="C72" s="19" t="n">
        <v>750000</v>
      </c>
      <c r="D72" s="19" t="n">
        <v>1000000</v>
      </c>
      <c r="E72" s="2" t="s">
        <v>239</v>
      </c>
    </row>
    <row r="73" customFormat="false" ht="15" hidden="false" customHeight="false" outlineLevel="0" collapsed="false">
      <c r="A73" s="27" t="s">
        <v>240</v>
      </c>
      <c r="B73" s="12" t="n">
        <v>0.012</v>
      </c>
      <c r="C73" s="12" t="n">
        <v>0.015</v>
      </c>
      <c r="D73" s="12" t="n">
        <v>0.02</v>
      </c>
      <c r="E73" s="2" t="s">
        <v>241</v>
      </c>
    </row>
    <row r="74" customFormat="false" ht="15" hidden="false" customHeight="false" outlineLevel="0" collapsed="false">
      <c r="A74" s="27" t="s">
        <v>242</v>
      </c>
      <c r="B74" s="23" t="n">
        <v>20</v>
      </c>
      <c r="C74" s="23" t="n">
        <v>20</v>
      </c>
      <c r="D74" s="23" t="n">
        <v>20</v>
      </c>
      <c r="E74" s="2"/>
    </row>
    <row r="75" customFormat="false" ht="15" hidden="false" customHeight="false" outlineLevel="0" collapsed="false">
      <c r="A75" s="27" t="s">
        <v>243</v>
      </c>
      <c r="B75" s="12" t="n">
        <v>0.75</v>
      </c>
      <c r="C75" s="12" t="n">
        <v>0.85</v>
      </c>
      <c r="D75" s="12" t="n">
        <v>0.9</v>
      </c>
      <c r="E75" s="2"/>
    </row>
    <row r="76" customFormat="false" ht="15" hidden="false" customHeight="false" outlineLevel="0" collapsed="false">
      <c r="A76" s="27" t="s">
        <v>244</v>
      </c>
      <c r="B76" s="12" t="n">
        <v>0.35</v>
      </c>
      <c r="C76" s="12" t="n">
        <v>0.35</v>
      </c>
      <c r="D76" s="12" t="n">
        <v>0.33</v>
      </c>
      <c r="E76" s="2" t="s">
        <v>245</v>
      </c>
    </row>
    <row r="77" customFormat="false" ht="15" hidden="false" customHeight="false" outlineLevel="0" collapsed="false">
      <c r="A77" s="31" t="s">
        <v>246</v>
      </c>
      <c r="B77" s="32"/>
      <c r="C77" s="32"/>
      <c r="D77" s="32"/>
      <c r="E77" s="32"/>
    </row>
    <row r="78" customFormat="false" ht="15" hidden="false" customHeight="false" outlineLevel="0" collapsed="false">
      <c r="A78" s="27" t="s">
        <v>247</v>
      </c>
      <c r="B78" s="23" t="n">
        <v>18</v>
      </c>
      <c r="C78" s="23" t="n">
        <v>25</v>
      </c>
      <c r="D78" s="23" t="n">
        <v>32</v>
      </c>
      <c r="E78" s="2" t="s">
        <v>248</v>
      </c>
    </row>
    <row r="79" customFormat="false" ht="15" hidden="false" customHeight="false" outlineLevel="0" collapsed="false">
      <c r="A79" s="27" t="s">
        <v>249</v>
      </c>
      <c r="B79" s="12" t="n">
        <v>0.1</v>
      </c>
      <c r="C79" s="12" t="n">
        <v>0.1</v>
      </c>
      <c r="D79" s="12" t="n">
        <v>0.1</v>
      </c>
      <c r="E79" s="2" t="s">
        <v>180</v>
      </c>
    </row>
    <row r="80" customFormat="false" ht="15" hidden="false" customHeight="false" outlineLevel="0" collapsed="false">
      <c r="A80" s="31" t="s">
        <v>250</v>
      </c>
      <c r="B80" s="32"/>
      <c r="C80" s="32"/>
      <c r="D80" s="32"/>
      <c r="E80" s="32"/>
    </row>
    <row r="81" customFormat="false" ht="15" hidden="false" customHeight="false" outlineLevel="0" collapsed="false">
      <c r="A81" s="27" t="s">
        <v>251</v>
      </c>
      <c r="B81" s="33" t="n">
        <v>0.7</v>
      </c>
      <c r="C81" s="33" t="n">
        <v>0.65</v>
      </c>
      <c r="D81" s="33" t="n">
        <v>0.55</v>
      </c>
      <c r="E81" s="2" t="s">
        <v>252</v>
      </c>
    </row>
    <row r="82" customFormat="false" ht="15" hidden="false" customHeight="false" outlineLevel="0" collapsed="false">
      <c r="A82" s="27" t="s">
        <v>253</v>
      </c>
      <c r="B82" s="23" t="n">
        <v>1600000</v>
      </c>
      <c r="C82" s="23" t="n">
        <v>1400000</v>
      </c>
      <c r="D82" s="23" t="n">
        <v>1100000</v>
      </c>
      <c r="E82" s="2" t="s">
        <v>254</v>
      </c>
    </row>
    <row r="83" customFormat="false" ht="15" hidden="false" customHeight="false" outlineLevel="0" collapsed="false">
      <c r="A83" s="27" t="s">
        <v>255</v>
      </c>
      <c r="B83" s="12" t="n">
        <v>0.08</v>
      </c>
      <c r="C83" s="12" t="n">
        <v>0.06</v>
      </c>
      <c r="D83" s="12" t="n">
        <v>0.05</v>
      </c>
      <c r="E83" s="2" t="s">
        <v>256</v>
      </c>
    </row>
    <row r="84" customFormat="false" ht="15" hidden="false" customHeight="false" outlineLevel="0" collapsed="false">
      <c r="A84" s="27" t="s">
        <v>257</v>
      </c>
      <c r="B84" s="12" t="n">
        <v>0.1</v>
      </c>
      <c r="C84" s="12" t="n">
        <v>0.1</v>
      </c>
      <c r="D84" s="12" t="n">
        <v>0</v>
      </c>
      <c r="E84" s="2" t="s">
        <v>258</v>
      </c>
    </row>
    <row r="85" customFormat="false" ht="15" hidden="false" customHeight="false" outlineLevel="0" collapsed="false">
      <c r="A85" s="27" t="s">
        <v>259</v>
      </c>
      <c r="B85" s="34" t="n">
        <v>1</v>
      </c>
      <c r="C85" s="34" t="n">
        <v>2</v>
      </c>
      <c r="D85" s="34" t="n">
        <v>2</v>
      </c>
      <c r="E85" s="2" t="s">
        <v>260</v>
      </c>
    </row>
    <row r="86" customFormat="false" ht="15" hidden="false" customHeight="false" outlineLevel="0" collapsed="false">
      <c r="A86" s="27" t="s">
        <v>261</v>
      </c>
      <c r="B86" s="23" t="n">
        <v>999999999</v>
      </c>
      <c r="C86" s="23" t="n">
        <v>600000</v>
      </c>
      <c r="D86" s="23" t="n">
        <v>600000</v>
      </c>
      <c r="E86" s="2" t="s">
        <v>262</v>
      </c>
    </row>
    <row r="87" customFormat="false" ht="15" hidden="false" customHeight="false" outlineLevel="0" collapsed="false">
      <c r="A87" s="31" t="s">
        <v>263</v>
      </c>
      <c r="B87" s="32"/>
      <c r="C87" s="32"/>
      <c r="D87" s="32"/>
      <c r="E87" s="32"/>
    </row>
    <row r="88" customFormat="false" ht="15" hidden="false" customHeight="false" outlineLevel="0" collapsed="false">
      <c r="A88" s="27" t="s">
        <v>264</v>
      </c>
      <c r="B88" s="12" t="n">
        <v>0.3</v>
      </c>
      <c r="C88" s="12" t="n">
        <v>0.25</v>
      </c>
      <c r="D88" s="12" t="n">
        <v>0.2</v>
      </c>
      <c r="E88" s="2" t="s">
        <v>265</v>
      </c>
    </row>
    <row r="89" customFormat="false" ht="15" hidden="false" customHeight="false" outlineLevel="0" collapsed="false">
      <c r="A89" s="27" t="s">
        <v>266</v>
      </c>
      <c r="B89" s="23" t="n">
        <v>10</v>
      </c>
      <c r="C89" s="23" t="n">
        <v>12</v>
      </c>
      <c r="D89" s="23" t="n">
        <v>15</v>
      </c>
      <c r="E89" s="2" t="s">
        <v>267</v>
      </c>
    </row>
    <row r="90" customFormat="false" ht="15" hidden="false" customHeight="false" outlineLevel="0" collapsed="false">
      <c r="A90" s="27" t="s">
        <v>268</v>
      </c>
      <c r="B90" s="23" t="n">
        <v>1000000</v>
      </c>
      <c r="C90" s="23" t="n">
        <v>850000</v>
      </c>
      <c r="D90" s="23" t="n">
        <v>750000</v>
      </c>
      <c r="E90" s="2" t="s">
        <v>180</v>
      </c>
    </row>
    <row r="91" customFormat="false" ht="15" hidden="false" customHeight="false" outlineLevel="0" collapsed="false">
      <c r="A91" s="27" t="s">
        <v>269</v>
      </c>
      <c r="B91" s="12" t="n">
        <v>0.025</v>
      </c>
      <c r="C91" s="12" t="n">
        <v>0.02</v>
      </c>
      <c r="D91" s="12" t="n">
        <v>0.015</v>
      </c>
      <c r="E91" s="2"/>
    </row>
    <row r="92" customFormat="false" ht="15" hidden="false" customHeight="false" outlineLevel="0" collapsed="false">
      <c r="A92" s="27" t="s">
        <v>270</v>
      </c>
      <c r="B92" s="12" t="n">
        <v>0.3</v>
      </c>
      <c r="C92" s="12" t="n">
        <v>0.4</v>
      </c>
      <c r="D92" s="12" t="n">
        <v>0.5</v>
      </c>
      <c r="E92" s="2"/>
    </row>
    <row r="93" customFormat="false" ht="15" hidden="false" customHeight="false" outlineLevel="0" collapsed="false">
      <c r="A93" s="27" t="s">
        <v>271</v>
      </c>
      <c r="B93" s="12" t="n">
        <v>0.5</v>
      </c>
      <c r="C93" s="12" t="n">
        <v>0.65</v>
      </c>
      <c r="D93" s="12" t="n">
        <v>0.8</v>
      </c>
      <c r="E93" s="2"/>
    </row>
    <row r="94" customFormat="false" ht="15" hidden="false" customHeight="false" outlineLevel="0" collapsed="false">
      <c r="A94" s="27" t="s">
        <v>272</v>
      </c>
      <c r="B94" s="12" t="n">
        <v>0.65</v>
      </c>
      <c r="C94" s="12" t="n">
        <v>0.85</v>
      </c>
      <c r="D94" s="12" t="n">
        <v>0.95</v>
      </c>
      <c r="E94" s="2"/>
    </row>
    <row r="95" customFormat="false" ht="15" hidden="false" customHeight="false" outlineLevel="0" collapsed="false">
      <c r="A95" s="27" t="s">
        <v>273</v>
      </c>
      <c r="B95" s="12" t="n">
        <v>0.8</v>
      </c>
      <c r="C95" s="12" t="n">
        <v>0.95</v>
      </c>
      <c r="D95" s="12" t="n">
        <v>1</v>
      </c>
      <c r="E95" s="2"/>
    </row>
    <row r="96" customFormat="false" ht="15" hidden="false" customHeight="false" outlineLevel="0" collapsed="false">
      <c r="A96" s="27" t="s">
        <v>274</v>
      </c>
      <c r="B96" s="12" t="n">
        <v>1</v>
      </c>
      <c r="C96" s="12" t="n">
        <v>1</v>
      </c>
      <c r="D96" s="12" t="n">
        <v>1</v>
      </c>
      <c r="E96" s="2"/>
    </row>
    <row r="97" customFormat="false" ht="15" hidden="false" customHeight="false" outlineLevel="0" collapsed="false">
      <c r="A97" s="27" t="s">
        <v>275</v>
      </c>
      <c r="B97" s="12" t="n">
        <v>0</v>
      </c>
      <c r="C97" s="12" t="n">
        <v>0.03</v>
      </c>
      <c r="D97" s="12" t="n">
        <v>0.05</v>
      </c>
      <c r="E97" s="2"/>
    </row>
    <row r="98" customFormat="false" ht="15" hidden="false" customHeight="false" outlineLevel="0" collapsed="false">
      <c r="A98" s="31" t="s">
        <v>276</v>
      </c>
      <c r="B98" s="32"/>
      <c r="C98" s="32"/>
      <c r="D98" s="32"/>
      <c r="E98" s="32"/>
    </row>
    <row r="99" customFormat="false" ht="15" hidden="false" customHeight="false" outlineLevel="0" collapsed="false">
      <c r="A99" s="27" t="s">
        <v>277</v>
      </c>
      <c r="B99" s="23" t="n">
        <v>1400000</v>
      </c>
      <c r="C99" s="23" t="n">
        <v>1000000</v>
      </c>
      <c r="D99" s="23" t="n">
        <v>850000</v>
      </c>
      <c r="E99" s="2" t="s">
        <v>278</v>
      </c>
    </row>
    <row r="100" customFormat="false" ht="15" hidden="false" customHeight="false" outlineLevel="0" collapsed="false">
      <c r="A100" s="27" t="s">
        <v>279</v>
      </c>
      <c r="B100" s="23" t="n">
        <v>1300000</v>
      </c>
      <c r="C100" s="23" t="n">
        <v>950000</v>
      </c>
      <c r="D100" s="23" t="n">
        <v>800000</v>
      </c>
      <c r="E100" s="2" t="s">
        <v>180</v>
      </c>
    </row>
    <row r="101" customFormat="false" ht="15" hidden="false" customHeight="false" outlineLevel="0" collapsed="false">
      <c r="A101" s="27" t="s">
        <v>280</v>
      </c>
      <c r="B101" s="23" t="n">
        <v>900000</v>
      </c>
      <c r="C101" s="23" t="n">
        <v>650000</v>
      </c>
      <c r="D101" s="23" t="n">
        <v>550000</v>
      </c>
      <c r="E101" s="2" t="s">
        <v>281</v>
      </c>
    </row>
    <row r="102" customFormat="false" ht="15" hidden="false" customHeight="false" outlineLevel="0" collapsed="false">
      <c r="A102" s="27" t="s">
        <v>282</v>
      </c>
      <c r="B102" s="23" t="n">
        <v>900000</v>
      </c>
      <c r="C102" s="23" t="n">
        <v>650000</v>
      </c>
      <c r="D102" s="23" t="n">
        <v>500000</v>
      </c>
      <c r="E102" s="2" t="s">
        <v>180</v>
      </c>
    </row>
    <row r="103" customFormat="false" ht="15" hidden="false" customHeight="false" outlineLevel="0" collapsed="false">
      <c r="A103" s="27" t="s">
        <v>283</v>
      </c>
      <c r="B103" s="23" t="n">
        <v>1000000</v>
      </c>
      <c r="C103" s="23" t="n">
        <v>700000</v>
      </c>
      <c r="D103" s="23" t="n">
        <v>550000</v>
      </c>
      <c r="E103" s="2" t="s">
        <v>180</v>
      </c>
    </row>
    <row r="104" customFormat="false" ht="15" hidden="false" customHeight="false" outlineLevel="0" collapsed="false">
      <c r="A104" s="27" t="s">
        <v>284</v>
      </c>
      <c r="B104" s="23" t="n">
        <v>700000</v>
      </c>
      <c r="C104" s="23" t="n">
        <v>500000</v>
      </c>
      <c r="D104" s="23" t="n">
        <v>400000</v>
      </c>
      <c r="E104" s="2" t="s">
        <v>285</v>
      </c>
    </row>
    <row r="105" customFormat="false" ht="15" hidden="false" customHeight="false" outlineLevel="0" collapsed="false">
      <c r="A105" s="27" t="s">
        <v>286</v>
      </c>
      <c r="B105" s="23" t="n">
        <v>900000</v>
      </c>
      <c r="C105" s="23" t="n">
        <v>700000</v>
      </c>
      <c r="D105" s="23" t="n">
        <v>550000</v>
      </c>
      <c r="E105" s="2" t="s">
        <v>287</v>
      </c>
    </row>
    <row r="106" customFormat="false" ht="15" hidden="false" customHeight="false" outlineLevel="0" collapsed="false">
      <c r="A106" s="27" t="s">
        <v>288</v>
      </c>
      <c r="B106" s="23" t="n">
        <v>1400000</v>
      </c>
      <c r="C106" s="23" t="n">
        <v>1100000</v>
      </c>
      <c r="D106" s="23" t="n">
        <v>900000</v>
      </c>
      <c r="E106" s="2" t="s">
        <v>289</v>
      </c>
    </row>
    <row r="107" customFormat="false" ht="15" hidden="false" customHeight="false" outlineLevel="0" collapsed="false">
      <c r="A107" s="31" t="s">
        <v>290</v>
      </c>
      <c r="B107" s="32"/>
      <c r="C107" s="32"/>
      <c r="D107" s="32"/>
      <c r="E107" s="32"/>
    </row>
    <row r="108" customFormat="false" ht="15" hidden="false" customHeight="false" outlineLevel="0" collapsed="false">
      <c r="A108" s="27" t="s">
        <v>291</v>
      </c>
      <c r="B108" s="12" t="n">
        <v>0.15</v>
      </c>
      <c r="C108" s="12" t="n">
        <v>0.15</v>
      </c>
      <c r="D108" s="12" t="n">
        <v>0.15</v>
      </c>
      <c r="E108" s="2" t="s">
        <v>292</v>
      </c>
    </row>
    <row r="109" customFormat="false" ht="15" hidden="false" customHeight="false" outlineLevel="0" collapsed="false">
      <c r="A109" s="27" t="s">
        <v>293</v>
      </c>
      <c r="B109" s="35" t="n">
        <v>5</v>
      </c>
      <c r="C109" s="35" t="n">
        <v>7</v>
      </c>
      <c r="D109" s="35" t="n">
        <v>9</v>
      </c>
      <c r="E109" s="2" t="s">
        <v>294</v>
      </c>
    </row>
    <row r="110" customFormat="false" ht="15" hidden="false" customHeight="false" outlineLevel="0" collapsed="false">
      <c r="A110" s="9" t="s">
        <v>295</v>
      </c>
      <c r="B110" s="36" t="n">
        <f aca="false">SUM(B99:B106)</f>
        <v>8500000</v>
      </c>
      <c r="C110" s="36" t="n">
        <f aca="false">SUM(C99:C106)</f>
        <v>6250000</v>
      </c>
      <c r="D110" s="36" t="n">
        <f aca="false">SUM(D99:D106)</f>
        <v>5100000</v>
      </c>
    </row>
  </sheetData>
  <mergeCells count="1">
    <mergeCell ref="A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8"/>
    <col collapsed="false" customWidth="true" hidden="false" outlineLevel="0" max="9" min="2" style="0" width="14"/>
  </cols>
  <sheetData>
    <row r="1" customFormat="false" ht="15" hidden="false" customHeight="false" outlineLevel="0" collapsed="false">
      <c r="A1" s="37" t="s">
        <v>296</v>
      </c>
    </row>
    <row r="3" customFormat="false" ht="15" hidden="false" customHeight="false" outlineLevel="0" collapsed="false">
      <c r="A3" s="3" t="s">
        <v>57</v>
      </c>
      <c r="B3" s="38" t="s">
        <v>297</v>
      </c>
      <c r="C3" s="38" t="s">
        <v>58</v>
      </c>
      <c r="D3" s="38" t="s">
        <v>59</v>
      </c>
      <c r="E3" s="38" t="s">
        <v>60</v>
      </c>
      <c r="F3" s="38" t="s">
        <v>61</v>
      </c>
      <c r="G3" s="38" t="s">
        <v>62</v>
      </c>
      <c r="H3" s="38" t="s">
        <v>63</v>
      </c>
      <c r="I3" s="38" t="s">
        <v>64</v>
      </c>
    </row>
    <row r="4" customFormat="false" ht="15" hidden="false" customHeight="false" outlineLevel="0" collapsed="false">
      <c r="A4" s="0" t="s">
        <v>298</v>
      </c>
      <c r="C4" s="6" t="n">
        <f aca="false">Assumptions!$B$92</f>
        <v>0.3</v>
      </c>
      <c r="D4" s="6" t="n">
        <f aca="false">Assumptions!$B$93</f>
        <v>0.5</v>
      </c>
      <c r="E4" s="6" t="n">
        <f aca="false">Assumptions!$B$94</f>
        <v>0.65</v>
      </c>
      <c r="F4" s="6" t="n">
        <f aca="false">Assumptions!$B$95</f>
        <v>0.8</v>
      </c>
      <c r="G4" s="6" t="n">
        <f aca="false">Assumptions!$B$96</f>
        <v>1</v>
      </c>
      <c r="H4" s="29" t="n">
        <f aca="false">G4*(1+Assumptions!$B$97)</f>
        <v>1</v>
      </c>
      <c r="I4" s="29" t="n">
        <f aca="false">H4*(1+Assumptions!$B$97)</f>
        <v>1</v>
      </c>
    </row>
    <row r="6" customFormat="false" ht="15" hidden="false" customHeight="false" outlineLevel="0" collapsed="false">
      <c r="A6" s="31" t="s">
        <v>299</v>
      </c>
      <c r="B6" s="32"/>
      <c r="C6" s="32"/>
      <c r="D6" s="32"/>
      <c r="E6" s="32"/>
      <c r="F6" s="32"/>
      <c r="G6" s="32"/>
      <c r="H6" s="32"/>
      <c r="I6" s="32"/>
    </row>
    <row r="7" customFormat="false" ht="15" hidden="false" customHeight="false" outlineLevel="0" collapsed="false">
      <c r="A7" s="27" t="s">
        <v>300</v>
      </c>
      <c r="C7" s="28" t="n">
        <f aca="false">(Assumptions!$B$14*Assumptions!$B$15*Assumptions!$B$16)*(1-Assumptions!$B$19)*Assumptions!$B$17*C$4</f>
        <v>769500</v>
      </c>
      <c r="D7" s="28" t="n">
        <f aca="false">(Assumptions!$B$14*Assumptions!$B$15*Assumptions!$B$16)*(1-Assumptions!$B$19)*Assumptions!$B$17*D$4</f>
        <v>1282500</v>
      </c>
      <c r="E7" s="28" t="n">
        <f aca="false">(Assumptions!$B$14*Assumptions!$B$15*Assumptions!$B$16)*(1-Assumptions!$B$19)*Assumptions!$B$17*E$4</f>
        <v>1667250</v>
      </c>
      <c r="F7" s="28" t="n">
        <f aca="false">(Assumptions!$B$14*Assumptions!$B$15*Assumptions!$B$16)*(1-Assumptions!$B$19)*Assumptions!$B$17*F$4</f>
        <v>2052000</v>
      </c>
      <c r="G7" s="28" t="n">
        <f aca="false">(Assumptions!$B$14*Assumptions!$B$15*Assumptions!$B$16)*(1-Assumptions!$B$19)*Assumptions!$B$17*G$4</f>
        <v>2565000</v>
      </c>
      <c r="H7" s="28" t="n">
        <f aca="false">(Assumptions!$B$14*Assumptions!$B$15*Assumptions!$B$16)*(1-Assumptions!$B$19)*Assumptions!$B$17*H$4</f>
        <v>2565000</v>
      </c>
      <c r="I7" s="28" t="n">
        <f aca="false">(Assumptions!$B$14*Assumptions!$B$15*Assumptions!$B$16)*(1-Assumptions!$B$19)*Assumptions!$B$17*I$4</f>
        <v>2565000</v>
      </c>
    </row>
    <row r="8" customFormat="false" ht="15" hidden="false" customHeight="false" outlineLevel="0" collapsed="false">
      <c r="A8" s="27" t="s">
        <v>301</v>
      </c>
      <c r="C8" s="28" t="n">
        <f aca="false">(Assumptions!$B$14*Assumptions!$B$15*Assumptions!$B$16)*Assumptions!$B$19*Assumptions!$B$18*C$4</f>
        <v>64800</v>
      </c>
      <c r="D8" s="28" t="n">
        <f aca="false">(Assumptions!$B$14*Assumptions!$B$15*Assumptions!$B$16)*Assumptions!$B$19*Assumptions!$B$18*D$4</f>
        <v>108000</v>
      </c>
      <c r="E8" s="28" t="n">
        <f aca="false">(Assumptions!$B$14*Assumptions!$B$15*Assumptions!$B$16)*Assumptions!$B$19*Assumptions!$B$18*E$4</f>
        <v>140400</v>
      </c>
      <c r="F8" s="28" t="n">
        <f aca="false">(Assumptions!$B$14*Assumptions!$B$15*Assumptions!$B$16)*Assumptions!$B$19*Assumptions!$B$18*F$4</f>
        <v>172800</v>
      </c>
      <c r="G8" s="28" t="n">
        <f aca="false">(Assumptions!$B$14*Assumptions!$B$15*Assumptions!$B$16)*Assumptions!$B$19*Assumptions!$B$18*G$4</f>
        <v>216000</v>
      </c>
      <c r="H8" s="28" t="n">
        <f aca="false">(Assumptions!$B$14*Assumptions!$B$15*Assumptions!$B$16)*Assumptions!$B$19*Assumptions!$B$18*H$4</f>
        <v>216000</v>
      </c>
      <c r="I8" s="28" t="n">
        <f aca="false">(Assumptions!$B$14*Assumptions!$B$15*Assumptions!$B$16)*Assumptions!$B$19*Assumptions!$B$18*I$4</f>
        <v>216000</v>
      </c>
    </row>
    <row r="9" customFormat="false" ht="15" hidden="false" customHeight="false" outlineLevel="0" collapsed="false">
      <c r="A9" s="27" t="s">
        <v>302</v>
      </c>
      <c r="C9" s="28" t="n">
        <f aca="false">Assumptions!$B$21*Assumptions!$B$22*12*Assumptions!$B$23*C$4</f>
        <v>105300</v>
      </c>
      <c r="D9" s="28" t="n">
        <f aca="false">Assumptions!$B$21*Assumptions!$B$22*12*Assumptions!$B$23*D$4</f>
        <v>175500</v>
      </c>
      <c r="E9" s="28" t="n">
        <f aca="false">Assumptions!$B$21*Assumptions!$B$22*12*Assumptions!$B$23*E$4</f>
        <v>228150</v>
      </c>
      <c r="F9" s="28" t="n">
        <f aca="false">Assumptions!$B$21*Assumptions!$B$22*12*Assumptions!$B$23*F$4</f>
        <v>280800</v>
      </c>
      <c r="G9" s="28" t="n">
        <f aca="false">Assumptions!$B$21*Assumptions!$B$22*12*Assumptions!$B$23*G$4</f>
        <v>351000</v>
      </c>
      <c r="H9" s="28" t="n">
        <f aca="false">Assumptions!$B$21*Assumptions!$B$22*12*Assumptions!$B$23*H$4</f>
        <v>351000</v>
      </c>
      <c r="I9" s="28" t="n">
        <f aca="false">Assumptions!$B$21*Assumptions!$B$22*12*Assumptions!$B$23*I$4</f>
        <v>351000</v>
      </c>
    </row>
    <row r="10" customFormat="false" ht="15" hidden="false" customHeight="false" outlineLevel="0" collapsed="false">
      <c r="A10" s="27" t="s">
        <v>303</v>
      </c>
      <c r="C10" s="28" t="n">
        <f aca="false">Assumptions!$B$24*Assumptions!$B$25*Assumptions!$B$15*Assumptions!$B$26*C$4</f>
        <v>97200</v>
      </c>
      <c r="D10" s="28" t="n">
        <f aca="false">Assumptions!$B$24*Assumptions!$B$25*Assumptions!$B$15*Assumptions!$B$26*D$4</f>
        <v>162000</v>
      </c>
      <c r="E10" s="28" t="n">
        <f aca="false">Assumptions!$B$24*Assumptions!$B$25*Assumptions!$B$15*Assumptions!$B$26*E$4</f>
        <v>210600</v>
      </c>
      <c r="F10" s="28" t="n">
        <f aca="false">Assumptions!$B$24*Assumptions!$B$25*Assumptions!$B$15*Assumptions!$B$26*F$4</f>
        <v>259200</v>
      </c>
      <c r="G10" s="28" t="n">
        <f aca="false">Assumptions!$B$24*Assumptions!$B$25*Assumptions!$B$15*Assumptions!$B$26*G$4</f>
        <v>324000</v>
      </c>
      <c r="H10" s="28" t="n">
        <f aca="false">Assumptions!$B$24*Assumptions!$B$25*Assumptions!$B$15*Assumptions!$B$26*H$4</f>
        <v>324000</v>
      </c>
      <c r="I10" s="28" t="n">
        <f aca="false">Assumptions!$B$24*Assumptions!$B$25*Assumptions!$B$15*Assumptions!$B$26*I$4</f>
        <v>324000</v>
      </c>
    </row>
    <row r="11" customFormat="false" ht="15" hidden="false" customHeight="false" outlineLevel="0" collapsed="false">
      <c r="A11" s="27" t="s">
        <v>304</v>
      </c>
      <c r="C11" s="28" t="n">
        <f aca="false">(Assumptions!$B$29*Assumptions!$B$30+Assumptions!$B$31*Assumptions!$B$32+Assumptions!$B$33*Assumptions!$B$34+Assumptions!$B$35*Assumptions!$B$36)*12*Assumptions!$B$37*C$4</f>
        <v>105904.8</v>
      </c>
      <c r="D11" s="28" t="n">
        <f aca="false">(Assumptions!$B$29*Assumptions!$B$30+Assumptions!$B$31*Assumptions!$B$32+Assumptions!$B$33*Assumptions!$B$34+Assumptions!$B$35*Assumptions!$B$36)*12*Assumptions!$B$37*D$4</f>
        <v>176508</v>
      </c>
      <c r="E11" s="28" t="n">
        <f aca="false">(Assumptions!$B$29*Assumptions!$B$30+Assumptions!$B$31*Assumptions!$B$32+Assumptions!$B$33*Assumptions!$B$34+Assumptions!$B$35*Assumptions!$B$36)*12*Assumptions!$B$37*E$4</f>
        <v>229460.4</v>
      </c>
      <c r="F11" s="28" t="n">
        <f aca="false">(Assumptions!$B$29*Assumptions!$B$30+Assumptions!$B$31*Assumptions!$B$32+Assumptions!$B$33*Assumptions!$B$34+Assumptions!$B$35*Assumptions!$B$36)*12*Assumptions!$B$37*F$4</f>
        <v>282412.8</v>
      </c>
      <c r="G11" s="28" t="n">
        <f aca="false">(Assumptions!$B$29*Assumptions!$B$30+Assumptions!$B$31*Assumptions!$B$32+Assumptions!$B$33*Assumptions!$B$34+Assumptions!$B$35*Assumptions!$B$36)*12*Assumptions!$B$37*G$4</f>
        <v>353016</v>
      </c>
      <c r="H11" s="28" t="n">
        <f aca="false">(Assumptions!$B$29*Assumptions!$B$30+Assumptions!$B$31*Assumptions!$B$32+Assumptions!$B$33*Assumptions!$B$34+Assumptions!$B$35*Assumptions!$B$36)*12*Assumptions!$B$37*H$4</f>
        <v>353016</v>
      </c>
      <c r="I11" s="28" t="n">
        <f aca="false">(Assumptions!$B$29*Assumptions!$B$30+Assumptions!$B$31*Assumptions!$B$32+Assumptions!$B$33*Assumptions!$B$34+Assumptions!$B$35*Assumptions!$B$36)*12*Assumptions!$B$37*I$4</f>
        <v>353016</v>
      </c>
    </row>
    <row r="12" customFormat="false" ht="15" hidden="false" customHeight="false" outlineLevel="0" collapsed="false">
      <c r="A12" s="27" t="s">
        <v>305</v>
      </c>
      <c r="C12" s="28" t="n">
        <f aca="false">(Assumptions!$B$40*Assumptions!$B$41*Assumptions!$B$42+(Assumptions!$B$44*Assumptions!$B$45+Assumptions!$B$46*Assumptions!$B$47)*Assumptions!$B$48)*Assumptions!$B$15*C$4</f>
        <v>50112</v>
      </c>
      <c r="D12" s="28" t="n">
        <f aca="false">(Assumptions!$B$40*Assumptions!$B$41*Assumptions!$B$42+(Assumptions!$B$44*Assumptions!$B$45+Assumptions!$B$46*Assumptions!$B$47)*Assumptions!$B$48)*Assumptions!$B$15*D$4</f>
        <v>83520</v>
      </c>
      <c r="E12" s="28" t="n">
        <f aca="false">(Assumptions!$B$40*Assumptions!$B$41*Assumptions!$B$42+(Assumptions!$B$44*Assumptions!$B$45+Assumptions!$B$46*Assumptions!$B$47)*Assumptions!$B$48)*Assumptions!$B$15*E$4</f>
        <v>108576</v>
      </c>
      <c r="F12" s="28" t="n">
        <f aca="false">(Assumptions!$B$40*Assumptions!$B$41*Assumptions!$B$42+(Assumptions!$B$44*Assumptions!$B$45+Assumptions!$B$46*Assumptions!$B$47)*Assumptions!$B$48)*Assumptions!$B$15*F$4</f>
        <v>133632</v>
      </c>
      <c r="G12" s="28" t="n">
        <f aca="false">(Assumptions!$B$40*Assumptions!$B$41*Assumptions!$B$42+(Assumptions!$B$44*Assumptions!$B$45+Assumptions!$B$46*Assumptions!$B$47)*Assumptions!$B$48)*Assumptions!$B$15*G$4</f>
        <v>167040</v>
      </c>
      <c r="H12" s="28" t="n">
        <f aca="false">(Assumptions!$B$40*Assumptions!$B$41*Assumptions!$B$42+(Assumptions!$B$44*Assumptions!$B$45+Assumptions!$B$46*Assumptions!$B$47)*Assumptions!$B$48)*Assumptions!$B$15*H$4</f>
        <v>167040</v>
      </c>
      <c r="I12" s="28" t="n">
        <f aca="false">(Assumptions!$B$40*Assumptions!$B$41*Assumptions!$B$42+(Assumptions!$B$44*Assumptions!$B$45+Assumptions!$B$46*Assumptions!$B$47)*Assumptions!$B$48)*Assumptions!$B$15*I$4</f>
        <v>167040</v>
      </c>
    </row>
    <row r="13" customFormat="false" ht="15" hidden="false" customHeight="false" outlineLevel="0" collapsed="false">
      <c r="A13" s="27" t="s">
        <v>306</v>
      </c>
      <c r="C13" s="28" t="n">
        <f aca="false">(Assumptions!$B$40*Assumptions!$B$41*Assumptions!$B$43+(Assumptions!$B$44+Assumptions!$B$46)*Assumptions!$B$48*Assumptions!$B$49)*Assumptions!$B$50*Assumptions!$B$15*C$4</f>
        <v>49766.4</v>
      </c>
      <c r="D13" s="28" t="n">
        <f aca="false">(Assumptions!$B$40*Assumptions!$B$41*Assumptions!$B$43+(Assumptions!$B$44+Assumptions!$B$46)*Assumptions!$B$48*Assumptions!$B$49)*Assumptions!$B$50*Assumptions!$B$15*D$4</f>
        <v>82944</v>
      </c>
      <c r="E13" s="28" t="n">
        <f aca="false">(Assumptions!$B$40*Assumptions!$B$41*Assumptions!$B$43+(Assumptions!$B$44+Assumptions!$B$46)*Assumptions!$B$48*Assumptions!$B$49)*Assumptions!$B$50*Assumptions!$B$15*E$4</f>
        <v>107827.2</v>
      </c>
      <c r="F13" s="28" t="n">
        <f aca="false">(Assumptions!$B$40*Assumptions!$B$41*Assumptions!$B$43+(Assumptions!$B$44+Assumptions!$B$46)*Assumptions!$B$48*Assumptions!$B$49)*Assumptions!$B$50*Assumptions!$B$15*F$4</f>
        <v>132710.4</v>
      </c>
      <c r="G13" s="28" t="n">
        <f aca="false">(Assumptions!$B$40*Assumptions!$B$41*Assumptions!$B$43+(Assumptions!$B$44+Assumptions!$B$46)*Assumptions!$B$48*Assumptions!$B$49)*Assumptions!$B$50*Assumptions!$B$15*G$4</f>
        <v>165888</v>
      </c>
      <c r="H13" s="28" t="n">
        <f aca="false">(Assumptions!$B$40*Assumptions!$B$41*Assumptions!$B$43+(Assumptions!$B$44+Assumptions!$B$46)*Assumptions!$B$48*Assumptions!$B$49)*Assumptions!$B$50*Assumptions!$B$15*H$4</f>
        <v>165888</v>
      </c>
      <c r="I13" s="28" t="n">
        <f aca="false">(Assumptions!$B$40*Assumptions!$B$41*Assumptions!$B$43+(Assumptions!$B$44+Assumptions!$B$46)*Assumptions!$B$48*Assumptions!$B$49)*Assumptions!$B$50*Assumptions!$B$15*I$4</f>
        <v>165888</v>
      </c>
    </row>
    <row r="14" customFormat="false" ht="15" hidden="false" customHeight="false" outlineLevel="0" collapsed="false">
      <c r="A14" s="27" t="s">
        <v>307</v>
      </c>
      <c r="C14" s="28" t="n">
        <f aca="false">((Assumptions!$B$14*Assumptions!$B$15*Assumptions!$B$16)*Assumptions!$B$53+Assumptions!$B$21*12*Assumptions!$B$23*Assumptions!$B$54)*Assumptions!$B$55*C$4</f>
        <v>130896</v>
      </c>
      <c r="D14" s="28" t="n">
        <f aca="false">((Assumptions!$B$14*Assumptions!$B$15*Assumptions!$B$16)*Assumptions!$B$53+Assumptions!$B$21*12*Assumptions!$B$23*Assumptions!$B$54)*Assumptions!$B$55*D$4</f>
        <v>218160</v>
      </c>
      <c r="E14" s="28" t="n">
        <f aca="false">((Assumptions!$B$14*Assumptions!$B$15*Assumptions!$B$16)*Assumptions!$B$53+Assumptions!$B$21*12*Assumptions!$B$23*Assumptions!$B$54)*Assumptions!$B$55*E$4</f>
        <v>283608</v>
      </c>
      <c r="F14" s="28" t="n">
        <f aca="false">((Assumptions!$B$14*Assumptions!$B$15*Assumptions!$B$16)*Assumptions!$B$53+Assumptions!$B$21*12*Assumptions!$B$23*Assumptions!$B$54)*Assumptions!$B$55*F$4</f>
        <v>349056</v>
      </c>
      <c r="G14" s="28" t="n">
        <f aca="false">((Assumptions!$B$14*Assumptions!$B$15*Assumptions!$B$16)*Assumptions!$B$53+Assumptions!$B$21*12*Assumptions!$B$23*Assumptions!$B$54)*Assumptions!$B$55*G$4</f>
        <v>436320</v>
      </c>
      <c r="H14" s="28" t="n">
        <f aca="false">((Assumptions!$B$14*Assumptions!$B$15*Assumptions!$B$16)*Assumptions!$B$53+Assumptions!$B$21*12*Assumptions!$B$23*Assumptions!$B$54)*Assumptions!$B$55*H$4</f>
        <v>436320</v>
      </c>
      <c r="I14" s="28" t="n">
        <f aca="false">((Assumptions!$B$14*Assumptions!$B$15*Assumptions!$B$16)*Assumptions!$B$53+Assumptions!$B$21*12*Assumptions!$B$23*Assumptions!$B$54)*Assumptions!$B$55*I$4</f>
        <v>436320</v>
      </c>
    </row>
    <row r="15" customFormat="false" ht="15" hidden="false" customHeight="false" outlineLevel="0" collapsed="false">
      <c r="A15" s="27" t="s">
        <v>308</v>
      </c>
      <c r="C15" s="28" t="n">
        <f aca="false">Assumptions!$B$56*Assumptions!$B$57*Assumptions!$B$15*Assumptions!$B$58*C$4</f>
        <v>68040</v>
      </c>
      <c r="D15" s="28" t="n">
        <f aca="false">Assumptions!$B$56*Assumptions!$B$57*Assumptions!$B$15*Assumptions!$B$58*D$4</f>
        <v>113400</v>
      </c>
      <c r="E15" s="28" t="n">
        <f aca="false">Assumptions!$B$56*Assumptions!$B$57*Assumptions!$B$15*Assumptions!$B$58*E$4</f>
        <v>147420</v>
      </c>
      <c r="F15" s="28" t="n">
        <f aca="false">Assumptions!$B$56*Assumptions!$B$57*Assumptions!$B$15*Assumptions!$B$58*F$4</f>
        <v>181440</v>
      </c>
      <c r="G15" s="28" t="n">
        <f aca="false">Assumptions!$B$56*Assumptions!$B$57*Assumptions!$B$15*Assumptions!$B$58*G$4</f>
        <v>226800</v>
      </c>
      <c r="H15" s="28" t="n">
        <f aca="false">Assumptions!$B$56*Assumptions!$B$57*Assumptions!$B$15*Assumptions!$B$58*H$4</f>
        <v>226800</v>
      </c>
      <c r="I15" s="28" t="n">
        <f aca="false">Assumptions!$B$56*Assumptions!$B$57*Assumptions!$B$15*Assumptions!$B$58*I$4</f>
        <v>226800</v>
      </c>
    </row>
    <row r="16" customFormat="false" ht="15" hidden="false" customHeight="false" outlineLevel="0" collapsed="false">
      <c r="A16" s="27" t="s">
        <v>309</v>
      </c>
      <c r="C16" s="28" t="n">
        <f aca="false">Assumptions!$B$59*Assumptions!$B$60*Assumptions!$B$61*C$4</f>
        <v>27027</v>
      </c>
      <c r="D16" s="28" t="n">
        <f aca="false">Assumptions!$B$59*Assumptions!$B$60*Assumptions!$B$61*D$4</f>
        <v>45045</v>
      </c>
      <c r="E16" s="28" t="n">
        <f aca="false">Assumptions!$B$59*Assumptions!$B$60*Assumptions!$B$61*E$4</f>
        <v>58558.5</v>
      </c>
      <c r="F16" s="28" t="n">
        <f aca="false">Assumptions!$B$59*Assumptions!$B$60*Assumptions!$B$61*F$4</f>
        <v>72072</v>
      </c>
      <c r="G16" s="28" t="n">
        <f aca="false">Assumptions!$B$59*Assumptions!$B$60*Assumptions!$B$61*G$4</f>
        <v>90090</v>
      </c>
      <c r="H16" s="28" t="n">
        <f aca="false">Assumptions!$B$59*Assumptions!$B$60*Assumptions!$B$61*H$4</f>
        <v>90090</v>
      </c>
      <c r="I16" s="28" t="n">
        <f aca="false">Assumptions!$B$59*Assumptions!$B$60*Assumptions!$B$61*I$4</f>
        <v>90090</v>
      </c>
    </row>
    <row r="17" customFormat="false" ht="15" hidden="false" customHeight="false" outlineLevel="0" collapsed="false">
      <c r="A17" s="27" t="s">
        <v>310</v>
      </c>
      <c r="C17" s="28" t="n">
        <f aca="false">Assumptions!$B$64*Assumptions!$B$65*12*Assumptions!$B$66*C$4</f>
        <v>90720</v>
      </c>
      <c r="D17" s="28" t="n">
        <f aca="false">Assumptions!$B$64*Assumptions!$B$65*12*Assumptions!$B$66*D$4</f>
        <v>151200</v>
      </c>
      <c r="E17" s="28" t="n">
        <f aca="false">Assumptions!$B$64*Assumptions!$B$65*12*Assumptions!$B$66*E$4</f>
        <v>196560</v>
      </c>
      <c r="F17" s="28" t="n">
        <f aca="false">Assumptions!$B$64*Assumptions!$B$65*12*Assumptions!$B$66*F$4</f>
        <v>241920</v>
      </c>
      <c r="G17" s="28" t="n">
        <f aca="false">Assumptions!$B$64*Assumptions!$B$65*12*Assumptions!$B$66*G$4</f>
        <v>302400</v>
      </c>
      <c r="H17" s="28" t="n">
        <f aca="false">Assumptions!$B$64*Assumptions!$B$65*12*Assumptions!$B$66*H$4</f>
        <v>302400</v>
      </c>
      <c r="I17" s="28" t="n">
        <f aca="false">Assumptions!$B$64*Assumptions!$B$65*12*Assumptions!$B$66*I$4</f>
        <v>302400</v>
      </c>
    </row>
    <row r="18" customFormat="false" ht="15" hidden="false" customHeight="false" outlineLevel="0" collapsed="false">
      <c r="A18" s="27" t="s">
        <v>311</v>
      </c>
      <c r="C18" s="28" t="n">
        <f aca="false">Assumptions!$B$5*Assumptions!$B$69*C$4</f>
        <v>120000</v>
      </c>
      <c r="D18" s="28" t="n">
        <f aca="false">Assumptions!$B$5*Assumptions!$B$69*D$4</f>
        <v>200000</v>
      </c>
      <c r="E18" s="28" t="n">
        <f aca="false">Assumptions!$B$5*Assumptions!$B$69*E$4</f>
        <v>260000</v>
      </c>
      <c r="F18" s="28" t="n">
        <f aca="false">Assumptions!$B$5*Assumptions!$B$69*F$4</f>
        <v>320000</v>
      </c>
      <c r="G18" s="28" t="n">
        <f aca="false">Assumptions!$B$5*Assumptions!$B$69*G$4</f>
        <v>400000</v>
      </c>
      <c r="H18" s="28" t="n">
        <f aca="false">Assumptions!$B$5*Assumptions!$B$69*H$4</f>
        <v>400000</v>
      </c>
      <c r="I18" s="28" t="n">
        <f aca="false">Assumptions!$B$5*Assumptions!$B$69*I$4</f>
        <v>400000</v>
      </c>
    </row>
    <row r="19" customFormat="false" ht="15" hidden="false" customHeight="false" outlineLevel="0" collapsed="false">
      <c r="A19" s="27" t="s">
        <v>312</v>
      </c>
      <c r="C19" s="28" t="n">
        <f aca="false">Assumptions!$B$72*Assumptions!$B$73*Assumptions!$B$74*12*Assumptions!$B$75*C$4</f>
        <v>324000</v>
      </c>
      <c r="D19" s="28" t="n">
        <f aca="false">Assumptions!$B$72*Assumptions!$B$73*Assumptions!$B$74*12*Assumptions!$B$75*D$4</f>
        <v>540000</v>
      </c>
      <c r="E19" s="28" t="n">
        <f aca="false">Assumptions!$B$72*Assumptions!$B$73*Assumptions!$B$74*12*Assumptions!$B$75*E$4</f>
        <v>702000</v>
      </c>
      <c r="F19" s="28" t="n">
        <f aca="false">Assumptions!$B$72*Assumptions!$B$73*Assumptions!$B$74*12*Assumptions!$B$75*F$4</f>
        <v>864000</v>
      </c>
      <c r="G19" s="28" t="n">
        <f aca="false">Assumptions!$B$72*Assumptions!$B$73*Assumptions!$B$74*12*Assumptions!$B$75*G$4</f>
        <v>1080000</v>
      </c>
      <c r="H19" s="28" t="n">
        <f aca="false">Assumptions!$B$72*Assumptions!$B$73*Assumptions!$B$74*12*Assumptions!$B$75*H$4</f>
        <v>1080000</v>
      </c>
      <c r="I19" s="28" t="n">
        <f aca="false">Assumptions!$B$72*Assumptions!$B$73*Assumptions!$B$74*12*Assumptions!$B$75*I$4</f>
        <v>1080000</v>
      </c>
    </row>
    <row r="20" customFormat="false" ht="15" hidden="false" customHeight="false" outlineLevel="0" collapsed="false">
      <c r="A20" s="27" t="s">
        <v>313</v>
      </c>
      <c r="C20" s="28" t="n">
        <f aca="false">Assumptions!$B$7*Assumptions!$B$78*C$4</f>
        <v>179998.2</v>
      </c>
      <c r="D20" s="28" t="n">
        <f aca="false">Assumptions!$B$7*Assumptions!$B$78*D$4</f>
        <v>299997</v>
      </c>
      <c r="E20" s="28" t="n">
        <f aca="false">Assumptions!$B$7*Assumptions!$B$78*E$4</f>
        <v>389996.1</v>
      </c>
      <c r="F20" s="28" t="n">
        <f aca="false">Assumptions!$B$7*Assumptions!$B$78*F$4</f>
        <v>479995.2</v>
      </c>
      <c r="G20" s="28" t="n">
        <f aca="false">Assumptions!$B$7*Assumptions!$B$78*G$4</f>
        <v>599994</v>
      </c>
      <c r="H20" s="28" t="n">
        <f aca="false">Assumptions!$B$7*Assumptions!$B$78*H$4</f>
        <v>599994</v>
      </c>
      <c r="I20" s="28" t="n">
        <f aca="false">Assumptions!$B$7*Assumptions!$B$78*I$4</f>
        <v>599994</v>
      </c>
    </row>
    <row r="21" customFormat="false" ht="15" hidden="false" customHeight="false" outlineLevel="0" collapsed="false">
      <c r="A21" s="9" t="s">
        <v>93</v>
      </c>
      <c r="C21" s="26" t="n">
        <f aca="false">SUM(C7:C20)</f>
        <v>2183264.4</v>
      </c>
      <c r="D21" s="26" t="n">
        <f aca="false">SUM(D7:D20)</f>
        <v>3638774</v>
      </c>
      <c r="E21" s="26" t="n">
        <f aca="false">SUM(E7:E20)</f>
        <v>4730406.2</v>
      </c>
      <c r="F21" s="26" t="n">
        <f aca="false">SUM(F7:F20)</f>
        <v>5822038.4</v>
      </c>
      <c r="G21" s="26" t="n">
        <f aca="false">SUM(G7:G20)</f>
        <v>7277548</v>
      </c>
      <c r="H21" s="26" t="n">
        <f aca="false">SUM(H7:H20)</f>
        <v>7277548</v>
      </c>
      <c r="I21" s="26" t="n">
        <f aca="false">SUM(I7:I20)</f>
        <v>7277548</v>
      </c>
    </row>
    <row r="22" customFormat="false" ht="15" hidden="false" customHeight="false" outlineLevel="0" collapsed="false">
      <c r="A22" s="27" t="s">
        <v>314</v>
      </c>
      <c r="C22" s="39" t="n">
        <f aca="false">C21/Assumptions!$B$5</f>
        <v>21.832644</v>
      </c>
      <c r="D22" s="39" t="n">
        <f aca="false">D21/Assumptions!$B$5</f>
        <v>36.38774</v>
      </c>
      <c r="E22" s="39" t="n">
        <f aca="false">E21/Assumptions!$B$5</f>
        <v>47.304062</v>
      </c>
      <c r="F22" s="39" t="n">
        <f aca="false">F21/Assumptions!$B$5</f>
        <v>58.220384</v>
      </c>
      <c r="G22" s="39" t="n">
        <f aca="false">G21/Assumptions!$B$5</f>
        <v>72.77548</v>
      </c>
      <c r="H22" s="39" t="n">
        <f aca="false">H21/Assumptions!$B$5</f>
        <v>72.77548</v>
      </c>
      <c r="I22" s="39" t="n">
        <f aca="false">I21/Assumptions!$B$5</f>
        <v>72.77548</v>
      </c>
    </row>
    <row r="23" customFormat="false" ht="15" hidden="false" customHeight="false" outlineLevel="0" collapsed="false">
      <c r="A23" s="27" t="s">
        <v>315</v>
      </c>
      <c r="C23" s="39" t="n">
        <f aca="false">SUM(C7:C10)/Assumptions!$B$8</f>
        <v>35.751724137931</v>
      </c>
      <c r="D23" s="39" t="n">
        <f aca="false">SUM(D7:D10)/Assumptions!$B$8</f>
        <v>59.5862068965517</v>
      </c>
      <c r="E23" s="39" t="n">
        <f aca="false">SUM(E7:E10)/Assumptions!$B$8</f>
        <v>77.4620689655173</v>
      </c>
      <c r="F23" s="39" t="n">
        <f aca="false">SUM(F7:F10)/Assumptions!$B$8</f>
        <v>95.3379310344828</v>
      </c>
      <c r="G23" s="39" t="n">
        <f aca="false">SUM(G7:G10)/Assumptions!$B$8</f>
        <v>119.172413793103</v>
      </c>
      <c r="H23" s="39" t="n">
        <f aca="false">SUM(H7:H10)/Assumptions!$B$8</f>
        <v>119.172413793103</v>
      </c>
      <c r="I23" s="39" t="n">
        <f aca="false">SUM(I7:I10)/Assumptions!$B$8</f>
        <v>119.172413793103</v>
      </c>
    </row>
    <row r="24" customFormat="false" ht="15" hidden="false" customHeight="false" outlineLevel="0" collapsed="false">
      <c r="A24" s="27" t="s">
        <v>316</v>
      </c>
      <c r="C24" s="39" t="n">
        <f aca="false">C11/Assumptions!$B$9</f>
        <v>8.44872756282409</v>
      </c>
      <c r="D24" s="39" t="n">
        <f aca="false">D11/Assumptions!$B$9</f>
        <v>14.0812126047068</v>
      </c>
      <c r="E24" s="39" t="n">
        <f aca="false">E11/Assumptions!$B$9</f>
        <v>18.3055763861189</v>
      </c>
      <c r="F24" s="39" t="n">
        <f aca="false">F11/Assumptions!$B$9</f>
        <v>22.5299401675309</v>
      </c>
      <c r="G24" s="39" t="n">
        <f aca="false">G11/Assumptions!$B$9</f>
        <v>28.1624252094136</v>
      </c>
      <c r="H24" s="39" t="n">
        <f aca="false">H11/Assumptions!$B$9</f>
        <v>28.1624252094136</v>
      </c>
      <c r="I24" s="39" t="n">
        <f aca="false">I11/Assumptions!$B$9</f>
        <v>28.1624252094136</v>
      </c>
    </row>
    <row r="25" customFormat="false" ht="15" hidden="false" customHeight="false" outlineLevel="0" collapsed="false">
      <c r="A25" s="27" t="s">
        <v>317</v>
      </c>
      <c r="C25" s="39" t="n">
        <f aca="false">(C12+C13)/Assumptions!$B$10</f>
        <v>22.1952</v>
      </c>
      <c r="D25" s="39" t="n">
        <f aca="false">(D12+D13)/Assumptions!$B$10</f>
        <v>36.992</v>
      </c>
      <c r="E25" s="39" t="n">
        <f aca="false">(E12+E13)/Assumptions!$B$10</f>
        <v>48.0896</v>
      </c>
      <c r="F25" s="39" t="n">
        <f aca="false">(F12+F13)/Assumptions!$B$10</f>
        <v>59.1872</v>
      </c>
      <c r="G25" s="39" t="n">
        <f aca="false">(G12+G13)/Assumptions!$B$10</f>
        <v>73.984</v>
      </c>
      <c r="H25" s="39" t="n">
        <f aca="false">(H12+H13)/Assumptions!$B$10</f>
        <v>73.984</v>
      </c>
      <c r="I25" s="39" t="n">
        <f aca="false">(I12+I13)/Assumptions!$B$10</f>
        <v>73.984</v>
      </c>
    </row>
    <row r="26" customFormat="false" ht="15" hidden="false" customHeight="false" outlineLevel="0" collapsed="false">
      <c r="A26" s="27" t="s">
        <v>318</v>
      </c>
      <c r="C26" s="39" t="n">
        <f aca="false">(C14+C15+C16)/Assumptions!$B$11</f>
        <v>42.6184458694832</v>
      </c>
      <c r="D26" s="39" t="n">
        <f aca="false">(D14+D15+D16)/Assumptions!$B$11</f>
        <v>71.0307431158054</v>
      </c>
      <c r="E26" s="39" t="n">
        <f aca="false">(E14+E15+E16)/Assumptions!$B$11</f>
        <v>92.339966050547</v>
      </c>
      <c r="F26" s="39" t="n">
        <f aca="false">(F14+F15+F16)/Assumptions!$B$11</f>
        <v>113.649188985289</v>
      </c>
      <c r="G26" s="39" t="n">
        <f aca="false">(G14+G15+G16)/Assumptions!$B$11</f>
        <v>142.061486231611</v>
      </c>
      <c r="H26" s="39" t="n">
        <f aca="false">(H14+H15+H16)/Assumptions!$B$11</f>
        <v>142.061486231611</v>
      </c>
      <c r="I26" s="39" t="n">
        <f aca="false">(I14+I15+I16)/Assumptions!$B$11</f>
        <v>142.061486231611</v>
      </c>
    </row>
    <row r="27" customFormat="false" ht="15" hidden="false" customHeight="false" outlineLevel="0" collapsed="false">
      <c r="A27" s="27" t="s">
        <v>319</v>
      </c>
      <c r="C27" s="39" t="n">
        <f aca="false">C17/Assumptions!$B$12</f>
        <v>20.1510439804531</v>
      </c>
      <c r="D27" s="39" t="n">
        <f aca="false">D17/Assumptions!$B$12</f>
        <v>33.5850733007552</v>
      </c>
      <c r="E27" s="39" t="n">
        <f aca="false">E17/Assumptions!$B$12</f>
        <v>43.6605952909818</v>
      </c>
      <c r="F27" s="39" t="n">
        <f aca="false">F17/Assumptions!$B$12</f>
        <v>53.7361172812084</v>
      </c>
      <c r="G27" s="39" t="n">
        <f aca="false">G17/Assumptions!$B$12</f>
        <v>67.1701466015104</v>
      </c>
      <c r="H27" s="39" t="n">
        <f aca="false">H17/Assumptions!$B$12</f>
        <v>67.1701466015104</v>
      </c>
      <c r="I27" s="39" t="n">
        <f aca="false">I17/Assumptions!$B$12</f>
        <v>67.1701466015104</v>
      </c>
    </row>
    <row r="28" customFormat="false" ht="15" hidden="false" customHeight="false" outlineLevel="0" collapsed="false">
      <c r="A28" s="27" t="s">
        <v>320</v>
      </c>
      <c r="C28" s="39" t="n">
        <f aca="false">C20/Assumptions!$B$7</f>
        <v>5.4</v>
      </c>
      <c r="D28" s="39" t="n">
        <f aca="false">D20/Assumptions!$B$7</f>
        <v>9</v>
      </c>
      <c r="E28" s="39" t="n">
        <f aca="false">E20/Assumptions!$B$7</f>
        <v>11.7</v>
      </c>
      <c r="F28" s="39" t="n">
        <f aca="false">F20/Assumptions!$B$7</f>
        <v>14.4</v>
      </c>
      <c r="G28" s="39" t="n">
        <f aca="false">G20/Assumptions!$B$7</f>
        <v>18</v>
      </c>
      <c r="H28" s="39" t="n">
        <f aca="false">H20/Assumptions!$B$7</f>
        <v>18</v>
      </c>
      <c r="I28" s="39" t="n">
        <f aca="false">I20/Assumptions!$B$7</f>
        <v>18</v>
      </c>
    </row>
    <row r="30" customFormat="false" ht="15" hidden="false" customHeight="false" outlineLevel="0" collapsed="false">
      <c r="A30" s="31" t="s">
        <v>321</v>
      </c>
      <c r="B30" s="32"/>
      <c r="C30" s="32"/>
      <c r="D30" s="32"/>
      <c r="E30" s="32"/>
      <c r="F30" s="32"/>
      <c r="G30" s="32"/>
      <c r="H30" s="32"/>
      <c r="I30" s="32"/>
    </row>
    <row r="31" customFormat="false" ht="15" hidden="false" customHeight="false" outlineLevel="0" collapsed="false">
      <c r="A31" s="27" t="s">
        <v>322</v>
      </c>
      <c r="C31" s="28" t="n">
        <f aca="false">-(C7+C8)*Assumptions!$B$20</f>
        <v>-375435</v>
      </c>
      <c r="D31" s="28" t="n">
        <f aca="false">-(D7+D8)*Assumptions!$B$20</f>
        <v>-625725</v>
      </c>
      <c r="E31" s="28" t="n">
        <f aca="false">-(E7+E8)*Assumptions!$B$20</f>
        <v>-813442.5</v>
      </c>
      <c r="F31" s="28" t="n">
        <f aca="false">-(F7+F8)*Assumptions!$B$20</f>
        <v>-1001160</v>
      </c>
      <c r="G31" s="28" t="n">
        <f aca="false">-(G7+G8)*Assumptions!$B$20</f>
        <v>-1251450</v>
      </c>
      <c r="H31" s="28" t="n">
        <f aca="false">-(H7+H8)*Assumptions!$B$20</f>
        <v>-1251450</v>
      </c>
      <c r="I31" s="28" t="n">
        <f aca="false">-(I7+I8)*Assumptions!$B$20</f>
        <v>-1251450</v>
      </c>
    </row>
    <row r="32" customFormat="false" ht="15" hidden="false" customHeight="false" outlineLevel="0" collapsed="false">
      <c r="A32" s="27" t="s">
        <v>323</v>
      </c>
      <c r="C32" s="28" t="n">
        <f aca="false">-(C9+C10)*Assumptions!$B$27</f>
        <v>-60750</v>
      </c>
      <c r="D32" s="28" t="n">
        <f aca="false">-(D9+D10)*Assumptions!$B$27</f>
        <v>-101250</v>
      </c>
      <c r="E32" s="28" t="n">
        <f aca="false">-(E9+E10)*Assumptions!$B$27</f>
        <v>-131625</v>
      </c>
      <c r="F32" s="28" t="n">
        <f aca="false">-(F9+F10)*Assumptions!$B$27</f>
        <v>-162000</v>
      </c>
      <c r="G32" s="28" t="n">
        <f aca="false">-(G9+G10)*Assumptions!$B$27</f>
        <v>-202500</v>
      </c>
      <c r="H32" s="28" t="n">
        <f aca="false">-(H9+H10)*Assumptions!$B$27</f>
        <v>-202500</v>
      </c>
      <c r="I32" s="28" t="n">
        <f aca="false">-(I9+I10)*Assumptions!$B$27</f>
        <v>-202500</v>
      </c>
    </row>
    <row r="33" customFormat="false" ht="15" hidden="false" customHeight="false" outlineLevel="0" collapsed="false">
      <c r="A33" s="27" t="s">
        <v>324</v>
      </c>
      <c r="C33" s="28" t="n">
        <f aca="false">-C11*Assumptions!$B$38</f>
        <v>-74133.36</v>
      </c>
      <c r="D33" s="28" t="n">
        <f aca="false">-D11*Assumptions!$B$38</f>
        <v>-123555.6</v>
      </c>
      <c r="E33" s="28" t="n">
        <f aca="false">-E11*Assumptions!$B$38</f>
        <v>-160622.28</v>
      </c>
      <c r="F33" s="28" t="n">
        <f aca="false">-F11*Assumptions!$B$38</f>
        <v>-197688.96</v>
      </c>
      <c r="G33" s="28" t="n">
        <f aca="false">-G11*Assumptions!$B$38</f>
        <v>-247111.2</v>
      </c>
      <c r="H33" s="28" t="n">
        <f aca="false">-H11*Assumptions!$B$38</f>
        <v>-247111.2</v>
      </c>
      <c r="I33" s="28" t="n">
        <f aca="false">-I11*Assumptions!$B$38</f>
        <v>-247111.2</v>
      </c>
    </row>
    <row r="34" customFormat="false" ht="15" hidden="false" customHeight="false" outlineLevel="0" collapsed="false">
      <c r="A34" s="27" t="s">
        <v>325</v>
      </c>
      <c r="C34" s="28" t="n">
        <f aca="false">-(C12+C13)*Assumptions!$B$51</f>
        <v>-59927.04</v>
      </c>
      <c r="D34" s="28" t="n">
        <f aca="false">-(D12+D13)*Assumptions!$B$51</f>
        <v>-99878.4</v>
      </c>
      <c r="E34" s="28" t="n">
        <f aca="false">-(E12+E13)*Assumptions!$B$51</f>
        <v>-129841.92</v>
      </c>
      <c r="F34" s="28" t="n">
        <f aca="false">-(F12+F13)*Assumptions!$B$51</f>
        <v>-159805.44</v>
      </c>
      <c r="G34" s="28" t="n">
        <f aca="false">-(G12+G13)*Assumptions!$B$51</f>
        <v>-199756.8</v>
      </c>
      <c r="H34" s="28" t="n">
        <f aca="false">-(H12+H13)*Assumptions!$B$51</f>
        <v>-199756.8</v>
      </c>
      <c r="I34" s="28" t="n">
        <f aca="false">-(I12+I13)*Assumptions!$B$51</f>
        <v>-199756.8</v>
      </c>
    </row>
    <row r="35" customFormat="false" ht="15" hidden="false" customHeight="false" outlineLevel="0" collapsed="false">
      <c r="A35" s="27" t="s">
        <v>326</v>
      </c>
      <c r="C35" s="28" t="n">
        <f aca="false">-(C14+C15+C16)*Assumptions!$B$62</f>
        <v>-45192.6</v>
      </c>
      <c r="D35" s="28" t="n">
        <f aca="false">-(D14+D15+D16)*Assumptions!$B$62</f>
        <v>-75321</v>
      </c>
      <c r="E35" s="28" t="n">
        <f aca="false">-(E14+E15+E16)*Assumptions!$B$62</f>
        <v>-97917.3</v>
      </c>
      <c r="F35" s="28" t="n">
        <f aca="false">-(F14+F15+F16)*Assumptions!$B$62</f>
        <v>-120513.6</v>
      </c>
      <c r="G35" s="28" t="n">
        <f aca="false">-(G14+G15+G16)*Assumptions!$B$62</f>
        <v>-150642</v>
      </c>
      <c r="H35" s="28" t="n">
        <f aca="false">-(H14+H15+H16)*Assumptions!$B$62</f>
        <v>-150642</v>
      </c>
      <c r="I35" s="28" t="n">
        <f aca="false">-(I14+I15+I16)*Assumptions!$B$62</f>
        <v>-150642</v>
      </c>
    </row>
    <row r="36" customFormat="false" ht="15" hidden="false" customHeight="false" outlineLevel="0" collapsed="false">
      <c r="A36" s="27" t="s">
        <v>327</v>
      </c>
      <c r="C36" s="28" t="n">
        <f aca="false">-C17*Assumptions!$B$67</f>
        <v>-31752</v>
      </c>
      <c r="D36" s="28" t="n">
        <f aca="false">-D17*Assumptions!$B$67</f>
        <v>-52920</v>
      </c>
      <c r="E36" s="28" t="n">
        <f aca="false">-E17*Assumptions!$B$67</f>
        <v>-68796</v>
      </c>
      <c r="F36" s="28" t="n">
        <f aca="false">-F17*Assumptions!$B$67</f>
        <v>-84672</v>
      </c>
      <c r="G36" s="28" t="n">
        <f aca="false">-G17*Assumptions!$B$67</f>
        <v>-105840</v>
      </c>
      <c r="H36" s="28" t="n">
        <f aca="false">-H17*Assumptions!$B$67</f>
        <v>-105840</v>
      </c>
      <c r="I36" s="28" t="n">
        <f aca="false">-I17*Assumptions!$B$67</f>
        <v>-105840</v>
      </c>
    </row>
    <row r="37" customFormat="false" ht="15" hidden="false" customHeight="false" outlineLevel="0" collapsed="false">
      <c r="A37" s="27" t="s">
        <v>30</v>
      </c>
      <c r="C37" s="28" t="n">
        <f aca="false">-C18*Assumptions!$B$70</f>
        <v>-48000</v>
      </c>
      <c r="D37" s="28" t="n">
        <f aca="false">-D18*Assumptions!$B$70</f>
        <v>-80000</v>
      </c>
      <c r="E37" s="28" t="n">
        <f aca="false">-E18*Assumptions!$B$70</f>
        <v>-104000</v>
      </c>
      <c r="F37" s="28" t="n">
        <f aca="false">-F18*Assumptions!$B$70</f>
        <v>-128000</v>
      </c>
      <c r="G37" s="28" t="n">
        <f aca="false">-G18*Assumptions!$B$70</f>
        <v>-160000</v>
      </c>
      <c r="H37" s="28" t="n">
        <f aca="false">-H18*Assumptions!$B$70</f>
        <v>-160000</v>
      </c>
      <c r="I37" s="28" t="n">
        <f aca="false">-I18*Assumptions!$B$70</f>
        <v>-160000</v>
      </c>
    </row>
    <row r="38" customFormat="false" ht="15" hidden="false" customHeight="false" outlineLevel="0" collapsed="false">
      <c r="A38" s="27" t="s">
        <v>31</v>
      </c>
      <c r="C38" s="28" t="n">
        <f aca="false">-C19*Assumptions!$B$76</f>
        <v>-113400</v>
      </c>
      <c r="D38" s="28" t="n">
        <f aca="false">-D19*Assumptions!$B$76</f>
        <v>-189000</v>
      </c>
      <c r="E38" s="28" t="n">
        <f aca="false">-E19*Assumptions!$B$76</f>
        <v>-245700</v>
      </c>
      <c r="F38" s="28" t="n">
        <f aca="false">-F19*Assumptions!$B$76</f>
        <v>-302400</v>
      </c>
      <c r="G38" s="28" t="n">
        <f aca="false">-G19*Assumptions!$B$76</f>
        <v>-378000</v>
      </c>
      <c r="H38" s="28" t="n">
        <f aca="false">-H19*Assumptions!$B$76</f>
        <v>-378000</v>
      </c>
      <c r="I38" s="28" t="n">
        <f aca="false">-I19*Assumptions!$B$76</f>
        <v>-378000</v>
      </c>
    </row>
    <row r="39" customFormat="false" ht="15" hidden="false" customHeight="false" outlineLevel="0" collapsed="false">
      <c r="A39" s="27" t="s">
        <v>32</v>
      </c>
      <c r="C39" s="28" t="n">
        <f aca="false">-C20*Assumptions!$B$79</f>
        <v>-17999.82</v>
      </c>
      <c r="D39" s="28" t="n">
        <f aca="false">-D20*Assumptions!$B$79</f>
        <v>-29999.7</v>
      </c>
      <c r="E39" s="28" t="n">
        <f aca="false">-E20*Assumptions!$B$79</f>
        <v>-38999.61</v>
      </c>
      <c r="F39" s="28" t="n">
        <f aca="false">-F20*Assumptions!$B$79</f>
        <v>-47999.52</v>
      </c>
      <c r="G39" s="28" t="n">
        <f aca="false">-G20*Assumptions!$B$79</f>
        <v>-59999.4</v>
      </c>
      <c r="H39" s="28" t="n">
        <f aca="false">-H20*Assumptions!$B$79</f>
        <v>-59999.4</v>
      </c>
      <c r="I39" s="28" t="n">
        <f aca="false">-I20*Assumptions!$B$79</f>
        <v>-59999.4</v>
      </c>
    </row>
    <row r="40" customFormat="false" ht="15" hidden="false" customHeight="false" outlineLevel="0" collapsed="false">
      <c r="A40" s="9" t="s">
        <v>328</v>
      </c>
      <c r="C40" s="26" t="n">
        <f aca="false">SUM(C31:C39)</f>
        <v>-826589.82</v>
      </c>
      <c r="D40" s="26" t="n">
        <f aca="false">SUM(D31:D39)</f>
        <v>-1377649.7</v>
      </c>
      <c r="E40" s="26" t="n">
        <f aca="false">SUM(E31:E39)</f>
        <v>-1790944.61</v>
      </c>
      <c r="F40" s="26" t="n">
        <f aca="false">SUM(F31:F39)</f>
        <v>-2204239.52</v>
      </c>
      <c r="G40" s="26" t="n">
        <f aca="false">SUM(G31:G39)</f>
        <v>-2755299.4</v>
      </c>
      <c r="H40" s="26" t="n">
        <f aca="false">SUM(H31:H39)</f>
        <v>-2755299.4</v>
      </c>
      <c r="I40" s="26" t="n">
        <f aca="false">SUM(I31:I39)</f>
        <v>-2755299.4</v>
      </c>
    </row>
    <row r="41" customFormat="false" ht="15" hidden="false" customHeight="false" outlineLevel="0" collapsed="false">
      <c r="A41" s="9" t="s">
        <v>329</v>
      </c>
      <c r="C41" s="26" t="n">
        <f aca="false">C21+C40</f>
        <v>1356674.58</v>
      </c>
      <c r="D41" s="26" t="n">
        <f aca="false">D21+D40</f>
        <v>2261124.3</v>
      </c>
      <c r="E41" s="26" t="n">
        <f aca="false">E21+E40</f>
        <v>2939461.59</v>
      </c>
      <c r="F41" s="26" t="n">
        <f aca="false">F21+F40</f>
        <v>3617798.88</v>
      </c>
      <c r="G41" s="26" t="n">
        <f aca="false">G21+G40</f>
        <v>4522248.6</v>
      </c>
      <c r="H41" s="26" t="n">
        <f aca="false">H21+H40</f>
        <v>4522248.6</v>
      </c>
      <c r="I41" s="26" t="n">
        <f aca="false">I21+I40</f>
        <v>4522248.6</v>
      </c>
    </row>
    <row r="43" customFormat="false" ht="15" hidden="false" customHeight="false" outlineLevel="0" collapsed="false">
      <c r="A43" s="31" t="s">
        <v>250</v>
      </c>
      <c r="B43" s="32"/>
      <c r="C43" s="32"/>
      <c r="D43" s="32"/>
      <c r="E43" s="32"/>
      <c r="F43" s="32"/>
      <c r="G43" s="32"/>
      <c r="H43" s="32"/>
      <c r="I43" s="32"/>
    </row>
    <row r="44" customFormat="false" ht="15" hidden="false" customHeight="false" outlineLevel="0" collapsed="false">
      <c r="A44" s="27" t="s">
        <v>330</v>
      </c>
      <c r="C44" s="28" t="n">
        <f aca="false">-Assumptions!$B$5*Assumptions!$B$81*12</f>
        <v>-840000</v>
      </c>
      <c r="D44" s="28" t="n">
        <f aca="false">-Assumptions!$B$5*Assumptions!$B$81*12</f>
        <v>-840000</v>
      </c>
      <c r="E44" s="28" t="n">
        <f aca="false">-Assumptions!$B$5*Assumptions!$B$81*12</f>
        <v>-840000</v>
      </c>
      <c r="F44" s="28" t="n">
        <f aca="false">-Assumptions!$B$5*Assumptions!$B$81*12</f>
        <v>-840000</v>
      </c>
      <c r="G44" s="28" t="n">
        <f aca="false">-Assumptions!$B$5*Assumptions!$B$81*12</f>
        <v>-840000</v>
      </c>
      <c r="H44" s="28" t="n">
        <f aca="false">-Assumptions!$B$5*Assumptions!$B$81*12</f>
        <v>-840000</v>
      </c>
      <c r="I44" s="28" t="n">
        <f aca="false">-Assumptions!$B$5*Assumptions!$B$81*12</f>
        <v>-840000</v>
      </c>
    </row>
    <row r="45" customFormat="false" ht="15" hidden="false" customHeight="false" outlineLevel="0" collapsed="false">
      <c r="A45" s="27" t="s">
        <v>331</v>
      </c>
      <c r="C45" s="28" t="n">
        <f aca="false">-Assumptions!$B$82</f>
        <v>-1600000</v>
      </c>
      <c r="D45" s="28" t="n">
        <f aca="false">-Assumptions!$B$82</f>
        <v>-1600000</v>
      </c>
      <c r="E45" s="28" t="n">
        <f aca="false">-Assumptions!$B$82</f>
        <v>-1600000</v>
      </c>
      <c r="F45" s="28" t="n">
        <f aca="false">-Assumptions!$B$82</f>
        <v>-1600000</v>
      </c>
      <c r="G45" s="28" t="n">
        <f aca="false">-Assumptions!$B$82</f>
        <v>-1600000</v>
      </c>
      <c r="H45" s="28" t="n">
        <f aca="false">-Assumptions!$B$82</f>
        <v>-1600000</v>
      </c>
      <c r="I45" s="28" t="n">
        <f aca="false">-Assumptions!$B$82</f>
        <v>-1600000</v>
      </c>
    </row>
    <row r="46" customFormat="false" ht="15" hidden="false" customHeight="false" outlineLevel="0" collapsed="false">
      <c r="A46" s="27" t="s">
        <v>332</v>
      </c>
      <c r="C46" s="28" t="n">
        <f aca="false">-C21*Assumptions!$B$83</f>
        <v>-174661.152</v>
      </c>
      <c r="D46" s="28" t="n">
        <f aca="false">-D21*Assumptions!$B$83</f>
        <v>-291101.92</v>
      </c>
      <c r="E46" s="28" t="n">
        <f aca="false">-E21*Assumptions!$B$83</f>
        <v>-378432.496</v>
      </c>
      <c r="F46" s="28" t="n">
        <f aca="false">-F21*Assumptions!$B$83</f>
        <v>-465763.072</v>
      </c>
      <c r="G46" s="28" t="n">
        <f aca="false">-G21*Assumptions!$B$83</f>
        <v>-582203.84</v>
      </c>
      <c r="H46" s="28" t="n">
        <f aca="false">-H21*Assumptions!$B$83</f>
        <v>-582203.84</v>
      </c>
      <c r="I46" s="28" t="n">
        <f aca="false">-I21*Assumptions!$B$83</f>
        <v>-582203.84</v>
      </c>
    </row>
    <row r="47" customFormat="false" ht="15" hidden="false" customHeight="false" outlineLevel="0" collapsed="false">
      <c r="A47" s="27" t="s">
        <v>333</v>
      </c>
      <c r="C47" s="28" t="n">
        <f aca="false">-MIN(Assumptions!$B$86,Assumptions!$B$84*IF(Assumptions!$B$85=1,C21,MAX(0,C18+C37+C19+C38)))</f>
        <v>-218326.44</v>
      </c>
      <c r="D47" s="28" t="n">
        <f aca="false">-MIN(Assumptions!$B$86,Assumptions!$B$84*IF(Assumptions!$B$85=1,D21,MAX(0,D18+D37+D19+D38)))</f>
        <v>-363877.4</v>
      </c>
      <c r="E47" s="28" t="n">
        <f aca="false">-MIN(Assumptions!$B$86,Assumptions!$B$84*IF(Assumptions!$B$85=1,E21,MAX(0,E18+E37+E19+E38)))</f>
        <v>-473040.62</v>
      </c>
      <c r="F47" s="28" t="n">
        <f aca="false">-MIN(Assumptions!$B$86,Assumptions!$B$84*IF(Assumptions!$B$85=1,F21,MAX(0,F18+F37+F19+F38)))</f>
        <v>-582203.84</v>
      </c>
      <c r="G47" s="28" t="n">
        <f aca="false">-MIN(Assumptions!$B$86,Assumptions!$B$84*IF(Assumptions!$B$85=1,G21,MAX(0,G18+G37+G19+G38)))</f>
        <v>-727754.8</v>
      </c>
      <c r="H47" s="28" t="n">
        <f aca="false">-MIN(Assumptions!$B$86,Assumptions!$B$84*IF(Assumptions!$B$85=1,H21,MAX(0,H18+H37+H19+H38)))</f>
        <v>-727754.8</v>
      </c>
      <c r="I47" s="28" t="n">
        <f aca="false">-MIN(Assumptions!$B$86,Assumptions!$B$84*IF(Assumptions!$B$85=1,I21,MAX(0,I18+I37+I19+I38)))</f>
        <v>-727754.8</v>
      </c>
    </row>
    <row r="48" customFormat="false" ht="15" hidden="false" customHeight="false" outlineLevel="0" collapsed="false">
      <c r="A48" s="9" t="s">
        <v>334</v>
      </c>
      <c r="C48" s="26" t="n">
        <f aca="false">C41+SUM(C44:C47)</f>
        <v>-1476313.012</v>
      </c>
      <c r="D48" s="26" t="n">
        <f aca="false">D41+SUM(D44:D47)</f>
        <v>-833855.02</v>
      </c>
      <c r="E48" s="26" t="n">
        <f aca="false">E41+SUM(E44:E47)</f>
        <v>-352011.526000001</v>
      </c>
      <c r="F48" s="26" t="n">
        <f aca="false">F41+SUM(F44:F47)</f>
        <v>129831.968</v>
      </c>
      <c r="G48" s="26" t="n">
        <f aca="false">G41+SUM(G44:G47)</f>
        <v>772289.96</v>
      </c>
      <c r="H48" s="26" t="n">
        <f aca="false">H41+SUM(H44:H47)</f>
        <v>772289.96</v>
      </c>
      <c r="I48" s="26" t="n">
        <f aca="false">I41+SUM(I44:I47)</f>
        <v>772289.96</v>
      </c>
    </row>
    <row r="49" customFormat="false" ht="15" hidden="false" customHeight="false" outlineLevel="0" collapsed="false">
      <c r="A49" s="27" t="s">
        <v>335</v>
      </c>
      <c r="C49" s="29" t="n">
        <f aca="false">IF(C21=0,0,C48/C21)</f>
        <v>-0.67619524781332</v>
      </c>
      <c r="D49" s="29" t="n">
        <f aca="false">IF(D21=0,0,D48/D21)</f>
        <v>-0.229158232965279</v>
      </c>
      <c r="E49" s="29" t="n">
        <f aca="false">IF(E21=0,0,E48/E21)</f>
        <v>-0.0744146509024957</v>
      </c>
      <c r="F49" s="29" t="n">
        <f aca="false">IF(F21=0,0,F48/F21)</f>
        <v>0.0223000878867443</v>
      </c>
      <c r="G49" s="29" t="n">
        <f aca="false">IF(G21=0,0,G48/G21)</f>
        <v>0.106119528170752</v>
      </c>
      <c r="H49" s="29" t="n">
        <f aca="false">IF(H21=0,0,H48/H21)</f>
        <v>0.106119528170752</v>
      </c>
      <c r="I49" s="29" t="n">
        <f aca="false">IF(I21=0,0,I48/I21)</f>
        <v>0.106119528170752</v>
      </c>
    </row>
    <row r="51" customFormat="false" ht="15" hidden="false" customHeight="false" outlineLevel="0" collapsed="false">
      <c r="A51" s="31" t="s">
        <v>336</v>
      </c>
      <c r="B51" s="32"/>
      <c r="C51" s="32"/>
      <c r="D51" s="32"/>
      <c r="E51" s="32"/>
      <c r="F51" s="32"/>
      <c r="G51" s="32"/>
      <c r="H51" s="32"/>
      <c r="I51" s="32"/>
    </row>
    <row r="52" customFormat="false" ht="15" hidden="false" customHeight="false" outlineLevel="0" collapsed="false">
      <c r="A52" s="27" t="s">
        <v>337</v>
      </c>
      <c r="C52" s="28" t="n">
        <f aca="false">-Assumptions!$B$88*MAX(0,C48)</f>
        <v>-0</v>
      </c>
      <c r="D52" s="28" t="n">
        <f aca="false">-Assumptions!$B$88*MAX(0,D48)</f>
        <v>-0</v>
      </c>
      <c r="E52" s="28" t="n">
        <f aca="false">-Assumptions!$B$88*MAX(0,E48)</f>
        <v>-0</v>
      </c>
      <c r="F52" s="28" t="n">
        <f aca="false">-Assumptions!$B$88*MAX(0,F48)</f>
        <v>-38949.5904</v>
      </c>
      <c r="G52" s="28" t="n">
        <f aca="false">-Assumptions!$B$88*MAX(0,G48)</f>
        <v>-231686.988</v>
      </c>
      <c r="H52" s="28" t="n">
        <f aca="false">-Assumptions!$B$88*MAX(0,H48)</f>
        <v>-231686.988</v>
      </c>
      <c r="I52" s="28" t="n">
        <f aca="false">-Assumptions!$B$88*MAX(0,I48)</f>
        <v>-231686.988</v>
      </c>
    </row>
    <row r="53" customFormat="false" ht="15" hidden="false" customHeight="false" outlineLevel="0" collapsed="false">
      <c r="A53" s="27" t="s">
        <v>338</v>
      </c>
      <c r="C53" s="39" t="n">
        <f aca="false">-C52/Assumptions!$B$5</f>
        <v>0</v>
      </c>
      <c r="D53" s="39" t="n">
        <f aca="false">-D52/Assumptions!$B$5</f>
        <v>0</v>
      </c>
      <c r="E53" s="39" t="n">
        <f aca="false">-E52/Assumptions!$B$5</f>
        <v>0</v>
      </c>
      <c r="F53" s="39" t="n">
        <f aca="false">-F52/Assumptions!$B$5</f>
        <v>0.389495904</v>
      </c>
      <c r="G53" s="39" t="n">
        <f aca="false">-G52/Assumptions!$B$5</f>
        <v>2.31686988</v>
      </c>
      <c r="H53" s="39" t="n">
        <f aca="false">-H52/Assumptions!$B$5</f>
        <v>2.31686988</v>
      </c>
      <c r="I53" s="39" t="n">
        <f aca="false">-I52/Assumptions!$B$5</f>
        <v>2.31686988</v>
      </c>
    </row>
    <row r="54" customFormat="false" ht="15" hidden="false" customHeight="false" outlineLevel="0" collapsed="false">
      <c r="A54" s="27" t="s">
        <v>339</v>
      </c>
      <c r="C54" s="28" t="n">
        <f aca="false">Assumptions!$B$89*Assumptions!$B$5</f>
        <v>1000000</v>
      </c>
      <c r="D54" s="28" t="n">
        <f aca="false">Assumptions!$B$89*Assumptions!$B$5</f>
        <v>1000000</v>
      </c>
      <c r="E54" s="28" t="n">
        <f aca="false">Assumptions!$B$89*Assumptions!$B$5</f>
        <v>1000000</v>
      </c>
      <c r="F54" s="28" t="n">
        <f aca="false">Assumptions!$B$89*Assumptions!$B$5</f>
        <v>1000000</v>
      </c>
      <c r="G54" s="28" t="n">
        <f aca="false">Assumptions!$B$89*Assumptions!$B$5</f>
        <v>1000000</v>
      </c>
      <c r="H54" s="28" t="n">
        <f aca="false">Assumptions!$B$89*Assumptions!$B$5</f>
        <v>1000000</v>
      </c>
      <c r="I54" s="28" t="n">
        <f aca="false">Assumptions!$B$89*Assumptions!$B$5</f>
        <v>1000000</v>
      </c>
    </row>
    <row r="55" customFormat="false" ht="15" hidden="false" customHeight="false" outlineLevel="0" collapsed="false">
      <c r="A55" s="27" t="s">
        <v>340</v>
      </c>
      <c r="C55" s="40" t="n">
        <f aca="false">IF(C54=0,0,-C52/C54)</f>
        <v>0</v>
      </c>
      <c r="D55" s="40" t="n">
        <f aca="false">IF(D54=0,0,-D52/D54)</f>
        <v>0</v>
      </c>
      <c r="E55" s="40" t="n">
        <f aca="false">IF(E54=0,0,-E52/E54)</f>
        <v>0</v>
      </c>
      <c r="F55" s="40" t="n">
        <f aca="false">IF(F54=0,0,-F52/F54)</f>
        <v>0.0389495904</v>
      </c>
      <c r="G55" s="40" t="n">
        <f aca="false">IF(G54=0,0,-G52/G54)</f>
        <v>0.231686988</v>
      </c>
      <c r="H55" s="40" t="n">
        <f aca="false">IF(H54=0,0,-H52/H54)</f>
        <v>0.231686988</v>
      </c>
      <c r="I55" s="40" t="n">
        <f aca="false">IF(I54=0,0,-I52/I54)</f>
        <v>0.231686988</v>
      </c>
    </row>
    <row r="57" customFormat="false" ht="15" hidden="false" customHeight="false" outlineLevel="0" collapsed="false">
      <c r="A57" s="31" t="s">
        <v>341</v>
      </c>
      <c r="B57" s="32"/>
      <c r="C57" s="32"/>
      <c r="D57" s="32"/>
      <c r="E57" s="32"/>
      <c r="F57" s="32"/>
      <c r="G57" s="32"/>
      <c r="H57" s="32"/>
      <c r="I57" s="32"/>
    </row>
    <row r="58" customFormat="false" ht="15" hidden="false" customHeight="false" outlineLevel="0" collapsed="false">
      <c r="A58" s="27" t="s">
        <v>342</v>
      </c>
      <c r="C58" s="28" t="n">
        <f aca="false">-Assumptions!$B$90</f>
        <v>-1000000</v>
      </c>
      <c r="D58" s="28" t="n">
        <f aca="false">-Assumptions!$B$90</f>
        <v>-1000000</v>
      </c>
      <c r="E58" s="28" t="n">
        <f aca="false">-Assumptions!$B$90</f>
        <v>-1000000</v>
      </c>
      <c r="F58" s="28" t="n">
        <f aca="false">-Assumptions!$B$90</f>
        <v>-1000000</v>
      </c>
      <c r="G58" s="28" t="n">
        <f aca="false">-Assumptions!$B$90</f>
        <v>-1000000</v>
      </c>
      <c r="H58" s="28" t="n">
        <f aca="false">-Assumptions!$B$90</f>
        <v>-1000000</v>
      </c>
      <c r="I58" s="28" t="n">
        <f aca="false">-Assumptions!$B$90</f>
        <v>-1000000</v>
      </c>
    </row>
    <row r="59" customFormat="false" ht="15" hidden="false" customHeight="false" outlineLevel="0" collapsed="false">
      <c r="A59" s="9" t="s">
        <v>343</v>
      </c>
      <c r="C59" s="26" t="n">
        <f aca="false">C48+C52+C58</f>
        <v>-2476313.012</v>
      </c>
      <c r="D59" s="26" t="n">
        <f aca="false">D48+D52+D58</f>
        <v>-1833855.02</v>
      </c>
      <c r="E59" s="26" t="n">
        <f aca="false">E48+E52+E58</f>
        <v>-1352011.526</v>
      </c>
      <c r="F59" s="26" t="n">
        <f aca="false">F48+F52+F58</f>
        <v>-909117.6224</v>
      </c>
      <c r="G59" s="26" t="n">
        <f aca="false">G48+G52+G58</f>
        <v>-459397.028</v>
      </c>
      <c r="H59" s="26" t="n">
        <f aca="false">H48+H52+H58</f>
        <v>-459397.028</v>
      </c>
      <c r="I59" s="26" t="n">
        <f aca="false">I48+I52+I58</f>
        <v>-459397.028</v>
      </c>
    </row>
    <row r="60" customFormat="false" ht="15" hidden="false" customHeight="false" outlineLevel="0" collapsed="false">
      <c r="A60" s="27" t="s">
        <v>99</v>
      </c>
      <c r="C60" s="28" t="n">
        <f aca="false">IF(1&gt;=2,-C21*Assumptions!$B$91,0)</f>
        <v>0</v>
      </c>
      <c r="D60" s="28" t="n">
        <f aca="false">IF(2&gt;=2,-D21*Assumptions!$B$91,0)</f>
        <v>-90969.35</v>
      </c>
      <c r="E60" s="28" t="n">
        <f aca="false">IF(3&gt;=2,-E21*Assumptions!$B$91,0)</f>
        <v>-118260.155</v>
      </c>
      <c r="F60" s="28" t="n">
        <f aca="false">IF(4&gt;=2,-F21*Assumptions!$B$91,0)</f>
        <v>-145550.96</v>
      </c>
      <c r="G60" s="28" t="n">
        <f aca="false">IF(5&gt;=2,-G21*Assumptions!$B$91,0)</f>
        <v>-181938.7</v>
      </c>
      <c r="H60" s="28" t="n">
        <f aca="false">IF(6&gt;=2,-H21*Assumptions!$B$91,0)</f>
        <v>-181938.7</v>
      </c>
      <c r="I60" s="28" t="n">
        <f aca="false">IF(7&gt;=2,-I21*Assumptions!$B$91,0)</f>
        <v>-181938.7</v>
      </c>
    </row>
    <row r="61" customFormat="false" ht="15" hidden="false" customHeight="false" outlineLevel="0" collapsed="false">
      <c r="A61" s="27" t="s">
        <v>6</v>
      </c>
      <c r="B61" s="28" t="n">
        <f aca="false">-Assumptions!$B$110</f>
        <v>-8500000</v>
      </c>
      <c r="C61" s="28" t="n">
        <f aca="false">0</f>
        <v>0</v>
      </c>
      <c r="D61" s="28" t="n">
        <f aca="false">0</f>
        <v>0</v>
      </c>
      <c r="E61" s="28" t="n">
        <f aca="false">0</f>
        <v>0</v>
      </c>
      <c r="F61" s="28" t="n">
        <f aca="false">0</f>
        <v>0</v>
      </c>
      <c r="G61" s="28" t="n">
        <f aca="false">0</f>
        <v>0</v>
      </c>
      <c r="H61" s="28" t="n">
        <f aca="false">0</f>
        <v>0</v>
      </c>
      <c r="I61" s="28" t="n">
        <f aca="false">0</f>
        <v>0</v>
      </c>
    </row>
    <row r="62" customFormat="false" ht="15" hidden="false" customHeight="false" outlineLevel="0" collapsed="false">
      <c r="A62" s="9" t="s">
        <v>344</v>
      </c>
      <c r="B62" s="26" t="n">
        <f aca="false">B61</f>
        <v>-8500000</v>
      </c>
      <c r="C62" s="26" t="n">
        <f aca="false">C59+C60+C61</f>
        <v>-2476313.012</v>
      </c>
      <c r="D62" s="26" t="n">
        <f aca="false">D59+D60+D61</f>
        <v>-1924824.37</v>
      </c>
      <c r="E62" s="26" t="n">
        <f aca="false">E59+E60+E61</f>
        <v>-1470271.681</v>
      </c>
      <c r="F62" s="26" t="n">
        <f aca="false">F59+F60+F61</f>
        <v>-1054668.5824</v>
      </c>
      <c r="G62" s="26" t="n">
        <f aca="false">G59+G60+G61</f>
        <v>-641335.728</v>
      </c>
      <c r="H62" s="26" t="n">
        <f aca="false">H59+H60+H61</f>
        <v>-641335.728</v>
      </c>
      <c r="I62" s="26" t="n">
        <f aca="false">I59+I60+I61</f>
        <v>-641335.728</v>
      </c>
    </row>
    <row r="63" customFormat="false" ht="15" hidden="false" customHeight="false" outlineLevel="0" collapsed="false">
      <c r="A63" s="27" t="s">
        <v>345</v>
      </c>
      <c r="B63" s="28" t="n">
        <v>0</v>
      </c>
      <c r="C63" s="28" t="n">
        <f aca="false">IF(1=7,Assumptions!$B$109*(C59+C60),0)</f>
        <v>0</v>
      </c>
      <c r="D63" s="28" t="n">
        <f aca="false">IF(2=7,Assumptions!$B$109*(D59+D60),0)</f>
        <v>0</v>
      </c>
      <c r="E63" s="28" t="n">
        <f aca="false">IF(3=7,Assumptions!$B$109*(E59+E60),0)</f>
        <v>0</v>
      </c>
      <c r="F63" s="28" t="n">
        <f aca="false">IF(4=7,Assumptions!$B$109*(F59+F60),0)</f>
        <v>0</v>
      </c>
      <c r="G63" s="28" t="n">
        <f aca="false">IF(5=7,Assumptions!$B$109*(G59+G60),0)</f>
        <v>0</v>
      </c>
      <c r="H63" s="28" t="n">
        <f aca="false">IF(6=7,Assumptions!$B$109*(H59+H60),0)</f>
        <v>0</v>
      </c>
      <c r="I63" s="28" t="n">
        <f aca="false">IF(7=7,Assumptions!$B$109*(I59+I60),0)</f>
        <v>-3206678.64</v>
      </c>
    </row>
    <row r="64" customFormat="false" ht="15" hidden="false" customHeight="false" outlineLevel="0" collapsed="false">
      <c r="A64" s="9" t="s">
        <v>346</v>
      </c>
      <c r="B64" s="26" t="n">
        <f aca="false">B62</f>
        <v>-8500000</v>
      </c>
      <c r="C64" s="26" t="n">
        <f aca="false">C62+C63</f>
        <v>-2476313.012</v>
      </c>
      <c r="D64" s="26" t="n">
        <f aca="false">D62+D63</f>
        <v>-1924824.37</v>
      </c>
      <c r="E64" s="26" t="n">
        <f aca="false">E62+E63</f>
        <v>-1470271.681</v>
      </c>
      <c r="F64" s="26" t="n">
        <f aca="false">F62+F63</f>
        <v>-1054668.5824</v>
      </c>
      <c r="G64" s="26" t="n">
        <f aca="false">G62+G63</f>
        <v>-641335.728</v>
      </c>
      <c r="H64" s="26" t="n">
        <f aca="false">H62+H63</f>
        <v>-641335.728</v>
      </c>
      <c r="I64" s="26" t="n">
        <f aca="false">I62+I63</f>
        <v>-3848014.368</v>
      </c>
    </row>
    <row r="65" customFormat="false" ht="15" hidden="false" customHeight="false" outlineLevel="0" collapsed="false">
      <c r="A65" s="27" t="s">
        <v>347</v>
      </c>
      <c r="B65" s="28" t="n">
        <f aca="false">B62</f>
        <v>-8500000</v>
      </c>
      <c r="C65" s="28" t="n">
        <f aca="false">B65+C62</f>
        <v>-10976313.012</v>
      </c>
      <c r="D65" s="28" t="n">
        <f aca="false">C65+D62</f>
        <v>-12901137.382</v>
      </c>
      <c r="E65" s="28" t="n">
        <f aca="false">D65+E62</f>
        <v>-14371409.063</v>
      </c>
      <c r="F65" s="28" t="n">
        <f aca="false">E65+F62</f>
        <v>-15426077.6454</v>
      </c>
      <c r="G65" s="28" t="n">
        <f aca="false">F65+G62</f>
        <v>-16067413.3734</v>
      </c>
      <c r="H65" s="28" t="n">
        <f aca="false">G65+H62</f>
        <v>-16708749.1014</v>
      </c>
      <c r="I65" s="28" t="n">
        <f aca="false">H65+I62</f>
        <v>-17350084.8294</v>
      </c>
    </row>
    <row r="67" customFormat="false" ht="15" hidden="false" customHeight="false" outlineLevel="0" collapsed="false">
      <c r="A67" s="31" t="s">
        <v>290</v>
      </c>
      <c r="B67" s="32"/>
      <c r="C67" s="32"/>
      <c r="D67" s="32"/>
      <c r="E67" s="32"/>
      <c r="F67" s="32"/>
      <c r="G67" s="32"/>
      <c r="H67" s="32"/>
      <c r="I67" s="32"/>
    </row>
    <row r="68" customFormat="false" ht="15" hidden="false" customHeight="false" outlineLevel="0" collapsed="false">
      <c r="A68" s="0" t="s">
        <v>17</v>
      </c>
      <c r="B68" s="41" t="str">
        <f aca="false">IFERROR(IRR(B62:I62),"n/a (never recovers)")</f>
        <v>n/a (never recovers)</v>
      </c>
    </row>
    <row r="69" customFormat="false" ht="15" hidden="false" customHeight="false" outlineLevel="0" collapsed="false">
      <c r="A69" s="0" t="s">
        <v>18</v>
      </c>
      <c r="B69" s="41" t="str">
        <f aca="false">IFERROR(IRR(B64:I64),"n/a")</f>
        <v>n/a</v>
      </c>
    </row>
    <row r="70" customFormat="false" ht="15" hidden="false" customHeight="false" outlineLevel="0" collapsed="false">
      <c r="A70" s="0" t="s">
        <v>348</v>
      </c>
      <c r="B70" s="26" t="n">
        <f aca="false">B62+NPV(Assumptions!$B$108,C62:I62)</f>
        <v>-14515723.2941144</v>
      </c>
    </row>
    <row r="71" customFormat="false" ht="15" hidden="false" customHeight="false" outlineLevel="0" collapsed="false">
      <c r="A71" s="0" t="s">
        <v>349</v>
      </c>
      <c r="B71" s="26" t="n">
        <f aca="false">B64+NPV(Assumptions!$B$108,C64:I64)</f>
        <v>-15721232.5700206</v>
      </c>
    </row>
    <row r="72" customFormat="false" ht="15" hidden="false" customHeight="false" outlineLevel="0" collapsed="false">
      <c r="A72" s="0" t="s">
        <v>21</v>
      </c>
      <c r="B72" s="41" t="n">
        <f aca="false">SUM(C62:I62)/-B62</f>
        <v>-1.04118645051765</v>
      </c>
    </row>
    <row r="73" customFormat="false" ht="15" hidden="false" customHeight="false" outlineLevel="0" collapsed="false">
      <c r="A73" s="0" t="s">
        <v>22</v>
      </c>
      <c r="B73" s="41" t="n">
        <f aca="false">SUM(C64:I64)/-B64</f>
        <v>-1.41844276110588</v>
      </c>
    </row>
    <row r="74" customFormat="false" ht="15" hidden="false" customHeight="false" outlineLevel="0" collapsed="false">
      <c r="A74" s="0" t="s">
        <v>23</v>
      </c>
      <c r="B74" s="42" t="str">
        <f aca="false">IFERROR(INDEX($C$3:$I$3,MATCH(TRUE(),INDEX(C65:I65&gt;=0,0),0)),"beyond Y7")</f>
        <v>beyond Y7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8"/>
    <col collapsed="false" customWidth="true" hidden="false" outlineLevel="0" max="9" min="2" style="0" width="14"/>
  </cols>
  <sheetData>
    <row r="1" customFormat="false" ht="15" hidden="false" customHeight="false" outlineLevel="0" collapsed="false">
      <c r="A1" s="37" t="s">
        <v>350</v>
      </c>
    </row>
    <row r="3" customFormat="false" ht="15" hidden="false" customHeight="false" outlineLevel="0" collapsed="false">
      <c r="A3" s="3" t="s">
        <v>57</v>
      </c>
      <c r="B3" s="38" t="s">
        <v>297</v>
      </c>
      <c r="C3" s="38" t="s">
        <v>58</v>
      </c>
      <c r="D3" s="38" t="s">
        <v>59</v>
      </c>
      <c r="E3" s="38" t="s">
        <v>60</v>
      </c>
      <c r="F3" s="38" t="s">
        <v>61</v>
      </c>
      <c r="G3" s="38" t="s">
        <v>62</v>
      </c>
      <c r="H3" s="38" t="s">
        <v>63</v>
      </c>
      <c r="I3" s="38" t="s">
        <v>64</v>
      </c>
    </row>
    <row r="4" customFormat="false" ht="15" hidden="false" customHeight="false" outlineLevel="0" collapsed="false">
      <c r="A4" s="0" t="s">
        <v>298</v>
      </c>
      <c r="C4" s="6" t="n">
        <f aca="false">Assumptions!$C$92</f>
        <v>0.4</v>
      </c>
      <c r="D4" s="6" t="n">
        <f aca="false">Assumptions!$C$93</f>
        <v>0.65</v>
      </c>
      <c r="E4" s="6" t="n">
        <f aca="false">Assumptions!$C$94</f>
        <v>0.85</v>
      </c>
      <c r="F4" s="6" t="n">
        <f aca="false">Assumptions!$C$95</f>
        <v>0.95</v>
      </c>
      <c r="G4" s="6" t="n">
        <f aca="false">Assumptions!$C$96</f>
        <v>1</v>
      </c>
      <c r="H4" s="29" t="n">
        <f aca="false">G4*(1+Assumptions!$C$97)</f>
        <v>1.03</v>
      </c>
      <c r="I4" s="29" t="n">
        <f aca="false">H4*(1+Assumptions!$C$97)</f>
        <v>1.0609</v>
      </c>
    </row>
    <row r="6" customFormat="false" ht="15" hidden="false" customHeight="false" outlineLevel="0" collapsed="false">
      <c r="A6" s="31" t="s">
        <v>299</v>
      </c>
      <c r="B6" s="32"/>
      <c r="C6" s="32"/>
      <c r="D6" s="32"/>
      <c r="E6" s="32"/>
      <c r="F6" s="32"/>
      <c r="G6" s="32"/>
      <c r="H6" s="32"/>
      <c r="I6" s="32"/>
    </row>
    <row r="7" customFormat="false" ht="15" hidden="false" customHeight="false" outlineLevel="0" collapsed="false">
      <c r="A7" s="27" t="s">
        <v>300</v>
      </c>
      <c r="C7" s="28" t="n">
        <f aca="false">(Assumptions!$C$14*Assumptions!$C$15*Assumptions!$C$16)*(1-Assumptions!$C$19)*Assumptions!$C$17*C$4</f>
        <v>1909440</v>
      </c>
      <c r="D7" s="28" t="n">
        <f aca="false">(Assumptions!$C$14*Assumptions!$C$15*Assumptions!$C$16)*(1-Assumptions!$C$19)*Assumptions!$C$17*D$4</f>
        <v>3102840</v>
      </c>
      <c r="E7" s="28" t="n">
        <f aca="false">(Assumptions!$C$14*Assumptions!$C$15*Assumptions!$C$16)*(1-Assumptions!$C$19)*Assumptions!$C$17*E$4</f>
        <v>4057560</v>
      </c>
      <c r="F7" s="28" t="n">
        <f aca="false">(Assumptions!$C$14*Assumptions!$C$15*Assumptions!$C$16)*(1-Assumptions!$C$19)*Assumptions!$C$17*F$4</f>
        <v>4534920</v>
      </c>
      <c r="G7" s="28" t="n">
        <f aca="false">(Assumptions!$C$14*Assumptions!$C$15*Assumptions!$C$16)*(1-Assumptions!$C$19)*Assumptions!$C$17*G$4</f>
        <v>4773600</v>
      </c>
      <c r="H7" s="28" t="n">
        <f aca="false">(Assumptions!$C$14*Assumptions!$C$15*Assumptions!$C$16)*(1-Assumptions!$C$19)*Assumptions!$C$17*H$4</f>
        <v>4916808</v>
      </c>
      <c r="I7" s="28" t="n">
        <f aca="false">(Assumptions!$C$14*Assumptions!$C$15*Assumptions!$C$16)*(1-Assumptions!$C$19)*Assumptions!$C$17*I$4</f>
        <v>5064312.24</v>
      </c>
    </row>
    <row r="8" customFormat="false" ht="15" hidden="false" customHeight="false" outlineLevel="0" collapsed="false">
      <c r="A8" s="27" t="s">
        <v>301</v>
      </c>
      <c r="C8" s="28" t="n">
        <f aca="false">(Assumptions!$C$14*Assumptions!$C$15*Assumptions!$C$16)*Assumptions!$C$19*Assumptions!$C$18*C$4</f>
        <v>518400</v>
      </c>
      <c r="D8" s="28" t="n">
        <f aca="false">(Assumptions!$C$14*Assumptions!$C$15*Assumptions!$C$16)*Assumptions!$C$19*Assumptions!$C$18*D$4</f>
        <v>842400</v>
      </c>
      <c r="E8" s="28" t="n">
        <f aca="false">(Assumptions!$C$14*Assumptions!$C$15*Assumptions!$C$16)*Assumptions!$C$19*Assumptions!$C$18*E$4</f>
        <v>1101600</v>
      </c>
      <c r="F8" s="28" t="n">
        <f aca="false">(Assumptions!$C$14*Assumptions!$C$15*Assumptions!$C$16)*Assumptions!$C$19*Assumptions!$C$18*F$4</f>
        <v>1231200</v>
      </c>
      <c r="G8" s="28" t="n">
        <f aca="false">(Assumptions!$C$14*Assumptions!$C$15*Assumptions!$C$16)*Assumptions!$C$19*Assumptions!$C$18*G$4</f>
        <v>1296000</v>
      </c>
      <c r="H8" s="28" t="n">
        <f aca="false">(Assumptions!$C$14*Assumptions!$C$15*Assumptions!$C$16)*Assumptions!$C$19*Assumptions!$C$18*H$4</f>
        <v>1334880</v>
      </c>
      <c r="I8" s="28" t="n">
        <f aca="false">(Assumptions!$C$14*Assumptions!$C$15*Assumptions!$C$16)*Assumptions!$C$19*Assumptions!$C$18*I$4</f>
        <v>1374926.4</v>
      </c>
    </row>
    <row r="9" customFormat="false" ht="15" hidden="false" customHeight="false" outlineLevel="0" collapsed="false">
      <c r="A9" s="27" t="s">
        <v>302</v>
      </c>
      <c r="C9" s="28" t="n">
        <f aca="false">Assumptions!$C$21*Assumptions!$C$22*12*Assumptions!$C$23*C$4</f>
        <v>244800</v>
      </c>
      <c r="D9" s="28" t="n">
        <f aca="false">Assumptions!$C$21*Assumptions!$C$22*12*Assumptions!$C$23*D$4</f>
        <v>397800</v>
      </c>
      <c r="E9" s="28" t="n">
        <f aca="false">Assumptions!$C$21*Assumptions!$C$22*12*Assumptions!$C$23*E$4</f>
        <v>520200</v>
      </c>
      <c r="F9" s="28" t="n">
        <f aca="false">Assumptions!$C$21*Assumptions!$C$22*12*Assumptions!$C$23*F$4</f>
        <v>581400</v>
      </c>
      <c r="G9" s="28" t="n">
        <f aca="false">Assumptions!$C$21*Assumptions!$C$22*12*Assumptions!$C$23*G$4</f>
        <v>612000</v>
      </c>
      <c r="H9" s="28" t="n">
        <f aca="false">Assumptions!$C$21*Assumptions!$C$22*12*Assumptions!$C$23*H$4</f>
        <v>630360</v>
      </c>
      <c r="I9" s="28" t="n">
        <f aca="false">Assumptions!$C$21*Assumptions!$C$22*12*Assumptions!$C$23*I$4</f>
        <v>649270.8</v>
      </c>
    </row>
    <row r="10" customFormat="false" ht="15" hidden="false" customHeight="false" outlineLevel="0" collapsed="false">
      <c r="A10" s="27" t="s">
        <v>303</v>
      </c>
      <c r="C10" s="28" t="n">
        <f aca="false">Assumptions!$C$24*Assumptions!$C$25*Assumptions!$C$15*Assumptions!$C$26*C$4</f>
        <v>288000</v>
      </c>
      <c r="D10" s="28" t="n">
        <f aca="false">Assumptions!$C$24*Assumptions!$C$25*Assumptions!$C$15*Assumptions!$C$26*D$4</f>
        <v>468000</v>
      </c>
      <c r="E10" s="28" t="n">
        <f aca="false">Assumptions!$C$24*Assumptions!$C$25*Assumptions!$C$15*Assumptions!$C$26*E$4</f>
        <v>612000</v>
      </c>
      <c r="F10" s="28" t="n">
        <f aca="false">Assumptions!$C$24*Assumptions!$C$25*Assumptions!$C$15*Assumptions!$C$26*F$4</f>
        <v>684000</v>
      </c>
      <c r="G10" s="28" t="n">
        <f aca="false">Assumptions!$C$24*Assumptions!$C$25*Assumptions!$C$15*Assumptions!$C$26*G$4</f>
        <v>720000</v>
      </c>
      <c r="H10" s="28" t="n">
        <f aca="false">Assumptions!$C$24*Assumptions!$C$25*Assumptions!$C$15*Assumptions!$C$26*H$4</f>
        <v>741600</v>
      </c>
      <c r="I10" s="28" t="n">
        <f aca="false">Assumptions!$C$24*Assumptions!$C$25*Assumptions!$C$15*Assumptions!$C$26*I$4</f>
        <v>763848</v>
      </c>
    </row>
    <row r="11" customFormat="false" ht="15" hidden="false" customHeight="false" outlineLevel="0" collapsed="false">
      <c r="A11" s="27" t="s">
        <v>304</v>
      </c>
      <c r="C11" s="28" t="n">
        <f aca="false">(Assumptions!$C$29*Assumptions!$C$30+Assumptions!$C$31*Assumptions!$C$32+Assumptions!$C$33*Assumptions!$C$34+Assumptions!$C$35*Assumptions!$C$36)*12*Assumptions!$C$37*C$4</f>
        <v>262272</v>
      </c>
      <c r="D11" s="28" t="n">
        <f aca="false">(Assumptions!$C$29*Assumptions!$C$30+Assumptions!$C$31*Assumptions!$C$32+Assumptions!$C$33*Assumptions!$C$34+Assumptions!$C$35*Assumptions!$C$36)*12*Assumptions!$C$37*D$4</f>
        <v>426192</v>
      </c>
      <c r="E11" s="28" t="n">
        <f aca="false">(Assumptions!$C$29*Assumptions!$C$30+Assumptions!$C$31*Assumptions!$C$32+Assumptions!$C$33*Assumptions!$C$34+Assumptions!$C$35*Assumptions!$C$36)*12*Assumptions!$C$37*E$4</f>
        <v>557328</v>
      </c>
      <c r="F11" s="28" t="n">
        <f aca="false">(Assumptions!$C$29*Assumptions!$C$30+Assumptions!$C$31*Assumptions!$C$32+Assumptions!$C$33*Assumptions!$C$34+Assumptions!$C$35*Assumptions!$C$36)*12*Assumptions!$C$37*F$4</f>
        <v>622896</v>
      </c>
      <c r="G11" s="28" t="n">
        <f aca="false">(Assumptions!$C$29*Assumptions!$C$30+Assumptions!$C$31*Assumptions!$C$32+Assumptions!$C$33*Assumptions!$C$34+Assumptions!$C$35*Assumptions!$C$36)*12*Assumptions!$C$37*G$4</f>
        <v>655680</v>
      </c>
      <c r="H11" s="28" t="n">
        <f aca="false">(Assumptions!$C$29*Assumptions!$C$30+Assumptions!$C$31*Assumptions!$C$32+Assumptions!$C$33*Assumptions!$C$34+Assumptions!$C$35*Assumptions!$C$36)*12*Assumptions!$C$37*H$4</f>
        <v>675350.4</v>
      </c>
      <c r="I11" s="28" t="n">
        <f aca="false">(Assumptions!$C$29*Assumptions!$C$30+Assumptions!$C$31*Assumptions!$C$32+Assumptions!$C$33*Assumptions!$C$34+Assumptions!$C$35*Assumptions!$C$36)*12*Assumptions!$C$37*I$4</f>
        <v>695610.912</v>
      </c>
    </row>
    <row r="12" customFormat="false" ht="15" hidden="false" customHeight="false" outlineLevel="0" collapsed="false">
      <c r="A12" s="27" t="s">
        <v>305</v>
      </c>
      <c r="C12" s="28" t="n">
        <f aca="false">(Assumptions!$C$40*Assumptions!$C$41*Assumptions!$C$42+(Assumptions!$C$44*Assumptions!$C$45+Assumptions!$C$46*Assumptions!$C$47)*Assumptions!$C$48)*Assumptions!$C$15*C$4</f>
        <v>205632</v>
      </c>
      <c r="D12" s="28" t="n">
        <f aca="false">(Assumptions!$C$40*Assumptions!$C$41*Assumptions!$C$42+(Assumptions!$C$44*Assumptions!$C$45+Assumptions!$C$46*Assumptions!$C$47)*Assumptions!$C$48)*Assumptions!$C$15*D$4</f>
        <v>334152</v>
      </c>
      <c r="E12" s="28" t="n">
        <f aca="false">(Assumptions!$C$40*Assumptions!$C$41*Assumptions!$C$42+(Assumptions!$C$44*Assumptions!$C$45+Assumptions!$C$46*Assumptions!$C$47)*Assumptions!$C$48)*Assumptions!$C$15*E$4</f>
        <v>436968</v>
      </c>
      <c r="F12" s="28" t="n">
        <f aca="false">(Assumptions!$C$40*Assumptions!$C$41*Assumptions!$C$42+(Assumptions!$C$44*Assumptions!$C$45+Assumptions!$C$46*Assumptions!$C$47)*Assumptions!$C$48)*Assumptions!$C$15*F$4</f>
        <v>488376</v>
      </c>
      <c r="G12" s="28" t="n">
        <f aca="false">(Assumptions!$C$40*Assumptions!$C$41*Assumptions!$C$42+(Assumptions!$C$44*Assumptions!$C$45+Assumptions!$C$46*Assumptions!$C$47)*Assumptions!$C$48)*Assumptions!$C$15*G$4</f>
        <v>514080</v>
      </c>
      <c r="H12" s="28" t="n">
        <f aca="false">(Assumptions!$C$40*Assumptions!$C$41*Assumptions!$C$42+(Assumptions!$C$44*Assumptions!$C$45+Assumptions!$C$46*Assumptions!$C$47)*Assumptions!$C$48)*Assumptions!$C$15*H$4</f>
        <v>529502.4</v>
      </c>
      <c r="I12" s="28" t="n">
        <f aca="false">(Assumptions!$C$40*Assumptions!$C$41*Assumptions!$C$42+(Assumptions!$C$44*Assumptions!$C$45+Assumptions!$C$46*Assumptions!$C$47)*Assumptions!$C$48)*Assumptions!$C$15*I$4</f>
        <v>545387.472</v>
      </c>
    </row>
    <row r="13" customFormat="false" ht="15" hidden="false" customHeight="false" outlineLevel="0" collapsed="false">
      <c r="A13" s="27" t="s">
        <v>306</v>
      </c>
      <c r="C13" s="28" t="n">
        <f aca="false">(Assumptions!$C$40*Assumptions!$C$41*Assumptions!$C$43+(Assumptions!$C$44+Assumptions!$C$46)*Assumptions!$C$48*Assumptions!$C$49)*Assumptions!$C$50*Assumptions!$C$15*C$4</f>
        <v>298080</v>
      </c>
      <c r="D13" s="28" t="n">
        <f aca="false">(Assumptions!$C$40*Assumptions!$C$41*Assumptions!$C$43+(Assumptions!$C$44+Assumptions!$C$46)*Assumptions!$C$48*Assumptions!$C$49)*Assumptions!$C$50*Assumptions!$C$15*D$4</f>
        <v>484380</v>
      </c>
      <c r="E13" s="28" t="n">
        <f aca="false">(Assumptions!$C$40*Assumptions!$C$41*Assumptions!$C$43+(Assumptions!$C$44+Assumptions!$C$46)*Assumptions!$C$48*Assumptions!$C$49)*Assumptions!$C$50*Assumptions!$C$15*E$4</f>
        <v>633420</v>
      </c>
      <c r="F13" s="28" t="n">
        <f aca="false">(Assumptions!$C$40*Assumptions!$C$41*Assumptions!$C$43+(Assumptions!$C$44+Assumptions!$C$46)*Assumptions!$C$48*Assumptions!$C$49)*Assumptions!$C$50*Assumptions!$C$15*F$4</f>
        <v>707940</v>
      </c>
      <c r="G13" s="28" t="n">
        <f aca="false">(Assumptions!$C$40*Assumptions!$C$41*Assumptions!$C$43+(Assumptions!$C$44+Assumptions!$C$46)*Assumptions!$C$48*Assumptions!$C$49)*Assumptions!$C$50*Assumptions!$C$15*G$4</f>
        <v>745200</v>
      </c>
      <c r="H13" s="28" t="n">
        <f aca="false">(Assumptions!$C$40*Assumptions!$C$41*Assumptions!$C$43+(Assumptions!$C$44+Assumptions!$C$46)*Assumptions!$C$48*Assumptions!$C$49)*Assumptions!$C$50*Assumptions!$C$15*H$4</f>
        <v>767556</v>
      </c>
      <c r="I13" s="28" t="n">
        <f aca="false">(Assumptions!$C$40*Assumptions!$C$41*Assumptions!$C$43+(Assumptions!$C$44+Assumptions!$C$46)*Assumptions!$C$48*Assumptions!$C$49)*Assumptions!$C$50*Assumptions!$C$15*I$4</f>
        <v>790582.68</v>
      </c>
    </row>
    <row r="14" customFormat="false" ht="15" hidden="false" customHeight="false" outlineLevel="0" collapsed="false">
      <c r="A14" s="27" t="s">
        <v>307</v>
      </c>
      <c r="C14" s="28" t="n">
        <f aca="false">((Assumptions!$C$14*Assumptions!$C$15*Assumptions!$C$16)*Assumptions!$C$53+Assumptions!$C$21*12*Assumptions!$C$23*Assumptions!$C$54)*Assumptions!$C$55*C$4</f>
        <v>630720</v>
      </c>
      <c r="D14" s="28" t="n">
        <f aca="false">((Assumptions!$C$14*Assumptions!$C$15*Assumptions!$C$16)*Assumptions!$C$53+Assumptions!$C$21*12*Assumptions!$C$23*Assumptions!$C$54)*Assumptions!$C$55*D$4</f>
        <v>1024920</v>
      </c>
      <c r="E14" s="28" t="n">
        <f aca="false">((Assumptions!$C$14*Assumptions!$C$15*Assumptions!$C$16)*Assumptions!$C$53+Assumptions!$C$21*12*Assumptions!$C$23*Assumptions!$C$54)*Assumptions!$C$55*E$4</f>
        <v>1340280</v>
      </c>
      <c r="F14" s="28" t="n">
        <f aca="false">((Assumptions!$C$14*Assumptions!$C$15*Assumptions!$C$16)*Assumptions!$C$53+Assumptions!$C$21*12*Assumptions!$C$23*Assumptions!$C$54)*Assumptions!$C$55*F$4</f>
        <v>1497960</v>
      </c>
      <c r="G14" s="28" t="n">
        <f aca="false">((Assumptions!$C$14*Assumptions!$C$15*Assumptions!$C$16)*Assumptions!$C$53+Assumptions!$C$21*12*Assumptions!$C$23*Assumptions!$C$54)*Assumptions!$C$55*G$4</f>
        <v>1576800</v>
      </c>
      <c r="H14" s="28" t="n">
        <f aca="false">((Assumptions!$C$14*Assumptions!$C$15*Assumptions!$C$16)*Assumptions!$C$53+Assumptions!$C$21*12*Assumptions!$C$23*Assumptions!$C$54)*Assumptions!$C$55*H$4</f>
        <v>1624104</v>
      </c>
      <c r="I14" s="28" t="n">
        <f aca="false">((Assumptions!$C$14*Assumptions!$C$15*Assumptions!$C$16)*Assumptions!$C$53+Assumptions!$C$21*12*Assumptions!$C$23*Assumptions!$C$54)*Assumptions!$C$55*I$4</f>
        <v>1672827.12</v>
      </c>
    </row>
    <row r="15" customFormat="false" ht="15" hidden="false" customHeight="false" outlineLevel="0" collapsed="false">
      <c r="A15" s="27" t="s">
        <v>308</v>
      </c>
      <c r="C15" s="28" t="n">
        <f aca="false">Assumptions!$C$56*Assumptions!$C$57*Assumptions!$C$15*Assumptions!$C$58*C$4</f>
        <v>241920</v>
      </c>
      <c r="D15" s="28" t="n">
        <f aca="false">Assumptions!$C$56*Assumptions!$C$57*Assumptions!$C$15*Assumptions!$C$58*D$4</f>
        <v>393120</v>
      </c>
      <c r="E15" s="28" t="n">
        <f aca="false">Assumptions!$C$56*Assumptions!$C$57*Assumptions!$C$15*Assumptions!$C$58*E$4</f>
        <v>514080</v>
      </c>
      <c r="F15" s="28" t="n">
        <f aca="false">Assumptions!$C$56*Assumptions!$C$57*Assumptions!$C$15*Assumptions!$C$58*F$4</f>
        <v>574560</v>
      </c>
      <c r="G15" s="28" t="n">
        <f aca="false">Assumptions!$C$56*Assumptions!$C$57*Assumptions!$C$15*Assumptions!$C$58*G$4</f>
        <v>604800</v>
      </c>
      <c r="H15" s="28" t="n">
        <f aca="false">Assumptions!$C$56*Assumptions!$C$57*Assumptions!$C$15*Assumptions!$C$58*H$4</f>
        <v>622944</v>
      </c>
      <c r="I15" s="28" t="n">
        <f aca="false">Assumptions!$C$56*Assumptions!$C$57*Assumptions!$C$15*Assumptions!$C$58*I$4</f>
        <v>641632.32</v>
      </c>
    </row>
    <row r="16" customFormat="false" ht="15" hidden="false" customHeight="false" outlineLevel="0" collapsed="false">
      <c r="A16" s="27" t="s">
        <v>309</v>
      </c>
      <c r="C16" s="28" t="n">
        <f aca="false">Assumptions!$C$59*Assumptions!$C$60*Assumptions!$C$61*C$4</f>
        <v>96096</v>
      </c>
      <c r="D16" s="28" t="n">
        <f aca="false">Assumptions!$C$59*Assumptions!$C$60*Assumptions!$C$61*D$4</f>
        <v>156156</v>
      </c>
      <c r="E16" s="28" t="n">
        <f aca="false">Assumptions!$C$59*Assumptions!$C$60*Assumptions!$C$61*E$4</f>
        <v>204204</v>
      </c>
      <c r="F16" s="28" t="n">
        <f aca="false">Assumptions!$C$59*Assumptions!$C$60*Assumptions!$C$61*F$4</f>
        <v>228228</v>
      </c>
      <c r="G16" s="28" t="n">
        <f aca="false">Assumptions!$C$59*Assumptions!$C$60*Assumptions!$C$61*G$4</f>
        <v>240240</v>
      </c>
      <c r="H16" s="28" t="n">
        <f aca="false">Assumptions!$C$59*Assumptions!$C$60*Assumptions!$C$61*H$4</f>
        <v>247447.2</v>
      </c>
      <c r="I16" s="28" t="n">
        <f aca="false">Assumptions!$C$59*Assumptions!$C$60*Assumptions!$C$61*I$4</f>
        <v>254870.616</v>
      </c>
    </row>
    <row r="17" customFormat="false" ht="15" hidden="false" customHeight="false" outlineLevel="0" collapsed="false">
      <c r="A17" s="27" t="s">
        <v>310</v>
      </c>
      <c r="C17" s="28" t="n">
        <f aca="false">Assumptions!$C$64*Assumptions!$C$65*12*Assumptions!$C$66*C$4</f>
        <v>254016</v>
      </c>
      <c r="D17" s="28" t="n">
        <f aca="false">Assumptions!$C$64*Assumptions!$C$65*12*Assumptions!$C$66*D$4</f>
        <v>412776</v>
      </c>
      <c r="E17" s="28" t="n">
        <f aca="false">Assumptions!$C$64*Assumptions!$C$65*12*Assumptions!$C$66*E$4</f>
        <v>539784</v>
      </c>
      <c r="F17" s="28" t="n">
        <f aca="false">Assumptions!$C$64*Assumptions!$C$65*12*Assumptions!$C$66*F$4</f>
        <v>603288</v>
      </c>
      <c r="G17" s="28" t="n">
        <f aca="false">Assumptions!$C$64*Assumptions!$C$65*12*Assumptions!$C$66*G$4</f>
        <v>635040</v>
      </c>
      <c r="H17" s="28" t="n">
        <f aca="false">Assumptions!$C$64*Assumptions!$C$65*12*Assumptions!$C$66*H$4</f>
        <v>654091.2</v>
      </c>
      <c r="I17" s="28" t="n">
        <f aca="false">Assumptions!$C$64*Assumptions!$C$65*12*Assumptions!$C$66*I$4</f>
        <v>673713.936</v>
      </c>
    </row>
    <row r="18" customFormat="false" ht="15" hidden="false" customHeight="false" outlineLevel="0" collapsed="false">
      <c r="A18" s="27" t="s">
        <v>311</v>
      </c>
      <c r="C18" s="28" t="n">
        <f aca="false">Assumptions!$C$5*Assumptions!$C$69*C$4</f>
        <v>320000</v>
      </c>
      <c r="D18" s="28" t="n">
        <f aca="false">Assumptions!$C$5*Assumptions!$C$69*D$4</f>
        <v>520000</v>
      </c>
      <c r="E18" s="28" t="n">
        <f aca="false">Assumptions!$C$5*Assumptions!$C$69*E$4</f>
        <v>680000</v>
      </c>
      <c r="F18" s="28" t="n">
        <f aca="false">Assumptions!$C$5*Assumptions!$C$69*F$4</f>
        <v>760000</v>
      </c>
      <c r="G18" s="28" t="n">
        <f aca="false">Assumptions!$C$5*Assumptions!$C$69*G$4</f>
        <v>800000</v>
      </c>
      <c r="H18" s="28" t="n">
        <f aca="false">Assumptions!$C$5*Assumptions!$C$69*H$4</f>
        <v>824000</v>
      </c>
      <c r="I18" s="28" t="n">
        <f aca="false">Assumptions!$C$5*Assumptions!$C$69*I$4</f>
        <v>848720</v>
      </c>
    </row>
    <row r="19" customFormat="false" ht="15" hidden="false" customHeight="false" outlineLevel="0" collapsed="false">
      <c r="A19" s="27" t="s">
        <v>312</v>
      </c>
      <c r="C19" s="28" t="n">
        <f aca="false">Assumptions!$C$72*Assumptions!$C$73*Assumptions!$C$74*12*Assumptions!$C$75*C$4</f>
        <v>918000</v>
      </c>
      <c r="D19" s="28" t="n">
        <f aca="false">Assumptions!$C$72*Assumptions!$C$73*Assumptions!$C$74*12*Assumptions!$C$75*D$4</f>
        <v>1491750</v>
      </c>
      <c r="E19" s="28" t="n">
        <f aca="false">Assumptions!$C$72*Assumptions!$C$73*Assumptions!$C$74*12*Assumptions!$C$75*E$4</f>
        <v>1950750</v>
      </c>
      <c r="F19" s="28" t="n">
        <f aca="false">Assumptions!$C$72*Assumptions!$C$73*Assumptions!$C$74*12*Assumptions!$C$75*F$4</f>
        <v>2180250</v>
      </c>
      <c r="G19" s="28" t="n">
        <f aca="false">Assumptions!$C$72*Assumptions!$C$73*Assumptions!$C$74*12*Assumptions!$C$75*G$4</f>
        <v>2295000</v>
      </c>
      <c r="H19" s="28" t="n">
        <f aca="false">Assumptions!$C$72*Assumptions!$C$73*Assumptions!$C$74*12*Assumptions!$C$75*H$4</f>
        <v>2363850</v>
      </c>
      <c r="I19" s="28" t="n">
        <f aca="false">Assumptions!$C$72*Assumptions!$C$73*Assumptions!$C$74*12*Assumptions!$C$75*I$4</f>
        <v>2434765.5</v>
      </c>
    </row>
    <row r="20" customFormat="false" ht="15" hidden="false" customHeight="false" outlineLevel="0" collapsed="false">
      <c r="A20" s="27" t="s">
        <v>313</v>
      </c>
      <c r="C20" s="28" t="n">
        <f aca="false">Assumptions!$C$7*Assumptions!$C$78*C$4</f>
        <v>333330</v>
      </c>
      <c r="D20" s="28" t="n">
        <f aca="false">Assumptions!$C$7*Assumptions!$C$78*D$4</f>
        <v>541661.25</v>
      </c>
      <c r="E20" s="28" t="n">
        <f aca="false">Assumptions!$C$7*Assumptions!$C$78*E$4</f>
        <v>708326.25</v>
      </c>
      <c r="F20" s="28" t="n">
        <f aca="false">Assumptions!$C$7*Assumptions!$C$78*F$4</f>
        <v>791658.75</v>
      </c>
      <c r="G20" s="28" t="n">
        <f aca="false">Assumptions!$C$7*Assumptions!$C$78*G$4</f>
        <v>833325</v>
      </c>
      <c r="H20" s="28" t="n">
        <f aca="false">Assumptions!$C$7*Assumptions!$C$78*H$4</f>
        <v>858324.75</v>
      </c>
      <c r="I20" s="28" t="n">
        <f aca="false">Assumptions!$C$7*Assumptions!$C$78*I$4</f>
        <v>884074.4925</v>
      </c>
    </row>
    <row r="21" customFormat="false" ht="15" hidden="false" customHeight="false" outlineLevel="0" collapsed="false">
      <c r="A21" s="9" t="s">
        <v>93</v>
      </c>
      <c r="C21" s="26" t="n">
        <f aca="false">SUM(C7:C20)</f>
        <v>6520706</v>
      </c>
      <c r="D21" s="26" t="n">
        <f aca="false">SUM(D7:D20)</f>
        <v>10596147.25</v>
      </c>
      <c r="E21" s="26" t="n">
        <f aca="false">SUM(E7:E20)</f>
        <v>13856500.25</v>
      </c>
      <c r="F21" s="26" t="n">
        <f aca="false">SUM(F7:F20)</f>
        <v>15486676.75</v>
      </c>
      <c r="G21" s="26" t="n">
        <f aca="false">SUM(G7:G20)</f>
        <v>16301765</v>
      </c>
      <c r="H21" s="26" t="n">
        <f aca="false">SUM(H7:H20)</f>
        <v>16790817.95</v>
      </c>
      <c r="I21" s="26" t="n">
        <f aca="false">SUM(I7:I20)</f>
        <v>17294542.4885</v>
      </c>
    </row>
    <row r="22" customFormat="false" ht="15" hidden="false" customHeight="false" outlineLevel="0" collapsed="false">
      <c r="A22" s="27" t="s">
        <v>314</v>
      </c>
      <c r="C22" s="39" t="n">
        <f aca="false">C21/Assumptions!$C$5</f>
        <v>65.20706</v>
      </c>
      <c r="D22" s="39" t="n">
        <f aca="false">D21/Assumptions!$C$5</f>
        <v>105.9614725</v>
      </c>
      <c r="E22" s="39" t="n">
        <f aca="false">E21/Assumptions!$C$5</f>
        <v>138.5650025</v>
      </c>
      <c r="F22" s="39" t="n">
        <f aca="false">F21/Assumptions!$C$5</f>
        <v>154.8667675</v>
      </c>
      <c r="G22" s="39" t="n">
        <f aca="false">G21/Assumptions!$C$5</f>
        <v>163.01765</v>
      </c>
      <c r="H22" s="39" t="n">
        <f aca="false">H21/Assumptions!$C$5</f>
        <v>167.9081795</v>
      </c>
      <c r="I22" s="39" t="n">
        <f aca="false">I21/Assumptions!$C$5</f>
        <v>172.945424885</v>
      </c>
    </row>
    <row r="23" customFormat="false" ht="15" hidden="false" customHeight="false" outlineLevel="0" collapsed="false">
      <c r="A23" s="27" t="s">
        <v>315</v>
      </c>
      <c r="C23" s="39" t="n">
        <f aca="false">SUM(C7:C10)/Assumptions!$C$8</f>
        <v>102.091034482759</v>
      </c>
      <c r="D23" s="39" t="n">
        <f aca="false">SUM(D7:D10)/Assumptions!$C$8</f>
        <v>165.897931034483</v>
      </c>
      <c r="E23" s="39" t="n">
        <f aca="false">SUM(E7:E10)/Assumptions!$C$8</f>
        <v>216.943448275862</v>
      </c>
      <c r="F23" s="39" t="n">
        <f aca="false">SUM(F7:F10)/Assumptions!$C$8</f>
        <v>242.466206896552</v>
      </c>
      <c r="G23" s="39" t="n">
        <f aca="false">SUM(G7:G10)/Assumptions!$C$8</f>
        <v>255.227586206897</v>
      </c>
      <c r="H23" s="39" t="n">
        <f aca="false">SUM(H7:H10)/Assumptions!$C$8</f>
        <v>262.884413793104</v>
      </c>
      <c r="I23" s="39" t="n">
        <f aca="false">SUM(I7:I10)/Assumptions!$C$8</f>
        <v>270.770946206897</v>
      </c>
    </row>
    <row r="24" customFormat="false" ht="15" hidden="false" customHeight="false" outlineLevel="0" collapsed="false">
      <c r="A24" s="27" t="s">
        <v>316</v>
      </c>
      <c r="C24" s="39" t="n">
        <f aca="false">C11/Assumptions!$C$9</f>
        <v>20.9231751096929</v>
      </c>
      <c r="D24" s="39" t="n">
        <f aca="false">D11/Assumptions!$C$9</f>
        <v>34.0001595532509</v>
      </c>
      <c r="E24" s="39" t="n">
        <f aca="false">E11/Assumptions!$C$9</f>
        <v>44.4617471080973</v>
      </c>
      <c r="F24" s="39" t="n">
        <f aca="false">F11/Assumptions!$C$9</f>
        <v>49.6925408855205</v>
      </c>
      <c r="G24" s="39" t="n">
        <f aca="false">G11/Assumptions!$C$9</f>
        <v>52.3079377742322</v>
      </c>
      <c r="H24" s="39" t="n">
        <f aca="false">H11/Assumptions!$C$9</f>
        <v>53.8771759074591</v>
      </c>
      <c r="I24" s="39" t="n">
        <f aca="false">I11/Assumptions!$C$9</f>
        <v>55.4934911846829</v>
      </c>
    </row>
    <row r="25" customFormat="false" ht="15" hidden="false" customHeight="false" outlineLevel="0" collapsed="false">
      <c r="A25" s="27" t="s">
        <v>317</v>
      </c>
      <c r="C25" s="39" t="n">
        <f aca="false">(C12+C13)/Assumptions!$C$10</f>
        <v>111.936</v>
      </c>
      <c r="D25" s="39" t="n">
        <f aca="false">(D12+D13)/Assumptions!$C$10</f>
        <v>181.896</v>
      </c>
      <c r="E25" s="39" t="n">
        <f aca="false">(E12+E13)/Assumptions!$C$10</f>
        <v>237.864</v>
      </c>
      <c r="F25" s="39" t="n">
        <f aca="false">(F12+F13)/Assumptions!$C$10</f>
        <v>265.848</v>
      </c>
      <c r="G25" s="39" t="n">
        <f aca="false">(G12+G13)/Assumptions!$C$10</f>
        <v>279.84</v>
      </c>
      <c r="H25" s="39" t="n">
        <f aca="false">(H12+H13)/Assumptions!$C$10</f>
        <v>288.2352</v>
      </c>
      <c r="I25" s="39" t="n">
        <f aca="false">(I12+I13)/Assumptions!$C$10</f>
        <v>296.882256</v>
      </c>
    </row>
    <row r="26" customFormat="false" ht="15" hidden="false" customHeight="false" outlineLevel="0" collapsed="false">
      <c r="A26" s="27" t="s">
        <v>318</v>
      </c>
      <c r="C26" s="39" t="n">
        <f aca="false">(C14+C15+C16)/Assumptions!$C$11</f>
        <v>182.711429649189</v>
      </c>
      <c r="D26" s="39" t="n">
        <f aca="false">(D14+D15+D16)/Assumptions!$C$11</f>
        <v>296.906073179932</v>
      </c>
      <c r="E26" s="39" t="n">
        <f aca="false">(E14+E15+E16)/Assumptions!$C$11</f>
        <v>388.261788004527</v>
      </c>
      <c r="F26" s="39" t="n">
        <f aca="false">(F14+F15+F16)/Assumptions!$C$11</f>
        <v>433.939645416824</v>
      </c>
      <c r="G26" s="39" t="n">
        <f aca="false">(G14+G15+G16)/Assumptions!$C$11</f>
        <v>456.778574122973</v>
      </c>
      <c r="H26" s="39" t="n">
        <f aca="false">(H14+H15+H16)/Assumptions!$C$11</f>
        <v>470.481931346662</v>
      </c>
      <c r="I26" s="39" t="n">
        <f aca="false">(I14+I15+I16)/Assumptions!$C$11</f>
        <v>484.596389287061</v>
      </c>
    </row>
    <row r="27" customFormat="false" ht="15" hidden="false" customHeight="false" outlineLevel="0" collapsed="false">
      <c r="A27" s="27" t="s">
        <v>319</v>
      </c>
      <c r="C27" s="39" t="n">
        <f aca="false">C17/Assumptions!$C$12</f>
        <v>56.4229231452688</v>
      </c>
      <c r="D27" s="39" t="n">
        <f aca="false">D17/Assumptions!$C$12</f>
        <v>91.6872501110617</v>
      </c>
      <c r="E27" s="39" t="n">
        <f aca="false">E17/Assumptions!$C$12</f>
        <v>119.898711683696</v>
      </c>
      <c r="F27" s="39" t="n">
        <f aca="false">F17/Assumptions!$C$12</f>
        <v>134.004442470013</v>
      </c>
      <c r="G27" s="39" t="n">
        <f aca="false">G17/Assumptions!$C$12</f>
        <v>141.057307863172</v>
      </c>
      <c r="H27" s="39" t="n">
        <f aca="false">H17/Assumptions!$C$12</f>
        <v>145.289027099067</v>
      </c>
      <c r="I27" s="39" t="n">
        <f aca="false">I17/Assumptions!$C$12</f>
        <v>149.647697912039</v>
      </c>
    </row>
    <row r="28" customFormat="false" ht="15" hidden="false" customHeight="false" outlineLevel="0" collapsed="false">
      <c r="A28" s="27" t="s">
        <v>320</v>
      </c>
      <c r="C28" s="39" t="n">
        <f aca="false">C20/Assumptions!$C$7</f>
        <v>10</v>
      </c>
      <c r="D28" s="39" t="n">
        <f aca="false">D20/Assumptions!$C$7</f>
        <v>16.25</v>
      </c>
      <c r="E28" s="39" t="n">
        <f aca="false">E20/Assumptions!$C$7</f>
        <v>21.25</v>
      </c>
      <c r="F28" s="39" t="n">
        <f aca="false">F20/Assumptions!$C$7</f>
        <v>23.75</v>
      </c>
      <c r="G28" s="39" t="n">
        <f aca="false">G20/Assumptions!$C$7</f>
        <v>25</v>
      </c>
      <c r="H28" s="39" t="n">
        <f aca="false">H20/Assumptions!$C$7</f>
        <v>25.75</v>
      </c>
      <c r="I28" s="39" t="n">
        <f aca="false">I20/Assumptions!$C$7</f>
        <v>26.5225</v>
      </c>
    </row>
    <row r="30" customFormat="false" ht="15" hidden="false" customHeight="false" outlineLevel="0" collapsed="false">
      <c r="A30" s="31" t="s">
        <v>321</v>
      </c>
      <c r="B30" s="32"/>
      <c r="C30" s="32"/>
      <c r="D30" s="32"/>
      <c r="E30" s="32"/>
      <c r="F30" s="32"/>
      <c r="G30" s="32"/>
      <c r="H30" s="32"/>
      <c r="I30" s="32"/>
    </row>
    <row r="31" customFormat="false" ht="15" hidden="false" customHeight="false" outlineLevel="0" collapsed="false">
      <c r="A31" s="27" t="s">
        <v>322</v>
      </c>
      <c r="C31" s="28" t="n">
        <f aca="false">-(C7+C8)*Assumptions!$C$20</f>
        <v>-971136</v>
      </c>
      <c r="D31" s="28" t="n">
        <f aca="false">-(D7+D8)*Assumptions!$C$20</f>
        <v>-1578096</v>
      </c>
      <c r="E31" s="28" t="n">
        <f aca="false">-(E7+E8)*Assumptions!$C$20</f>
        <v>-2063664</v>
      </c>
      <c r="F31" s="28" t="n">
        <f aca="false">-(F7+F8)*Assumptions!$C$20</f>
        <v>-2306448</v>
      </c>
      <c r="G31" s="28" t="n">
        <f aca="false">-(G7+G8)*Assumptions!$C$20</f>
        <v>-2427840</v>
      </c>
      <c r="H31" s="28" t="n">
        <f aca="false">-(H7+H8)*Assumptions!$C$20</f>
        <v>-2500675.2</v>
      </c>
      <c r="I31" s="28" t="n">
        <f aca="false">-(I7+I8)*Assumptions!$C$20</f>
        <v>-2575695.456</v>
      </c>
    </row>
    <row r="32" customFormat="false" ht="15" hidden="false" customHeight="false" outlineLevel="0" collapsed="false">
      <c r="A32" s="27" t="s">
        <v>323</v>
      </c>
      <c r="C32" s="28" t="n">
        <f aca="false">-(C9+C10)*Assumptions!$C$27</f>
        <v>-159840</v>
      </c>
      <c r="D32" s="28" t="n">
        <f aca="false">-(D9+D10)*Assumptions!$C$27</f>
        <v>-259740</v>
      </c>
      <c r="E32" s="28" t="n">
        <f aca="false">-(E9+E10)*Assumptions!$C$27</f>
        <v>-339660</v>
      </c>
      <c r="F32" s="28" t="n">
        <f aca="false">-(F9+F10)*Assumptions!$C$27</f>
        <v>-379620</v>
      </c>
      <c r="G32" s="28" t="n">
        <f aca="false">-(G9+G10)*Assumptions!$C$27</f>
        <v>-399600</v>
      </c>
      <c r="H32" s="28" t="n">
        <f aca="false">-(H9+H10)*Assumptions!$C$27</f>
        <v>-411588</v>
      </c>
      <c r="I32" s="28" t="n">
        <f aca="false">-(I9+I10)*Assumptions!$C$27</f>
        <v>-423935.64</v>
      </c>
    </row>
    <row r="33" customFormat="false" ht="15" hidden="false" customHeight="false" outlineLevel="0" collapsed="false">
      <c r="A33" s="27" t="s">
        <v>324</v>
      </c>
      <c r="C33" s="28" t="n">
        <f aca="false">-C11*Assumptions!$C$38</f>
        <v>-157363.2</v>
      </c>
      <c r="D33" s="28" t="n">
        <f aca="false">-D11*Assumptions!$C$38</f>
        <v>-255715.2</v>
      </c>
      <c r="E33" s="28" t="n">
        <f aca="false">-E11*Assumptions!$C$38</f>
        <v>-334396.8</v>
      </c>
      <c r="F33" s="28" t="n">
        <f aca="false">-F11*Assumptions!$C$38</f>
        <v>-373737.6</v>
      </c>
      <c r="G33" s="28" t="n">
        <f aca="false">-G11*Assumptions!$C$38</f>
        <v>-393408</v>
      </c>
      <c r="H33" s="28" t="n">
        <f aca="false">-H11*Assumptions!$C$38</f>
        <v>-405210.24</v>
      </c>
      <c r="I33" s="28" t="n">
        <f aca="false">-I11*Assumptions!$C$38</f>
        <v>-417366.5472</v>
      </c>
    </row>
    <row r="34" customFormat="false" ht="15" hidden="false" customHeight="false" outlineLevel="0" collapsed="false">
      <c r="A34" s="27" t="s">
        <v>325</v>
      </c>
      <c r="C34" s="28" t="n">
        <f aca="false">-(C12+C13)*Assumptions!$C$51</f>
        <v>-277041.6</v>
      </c>
      <c r="D34" s="28" t="n">
        <f aca="false">-(D12+D13)*Assumptions!$C$51</f>
        <v>-450192.6</v>
      </c>
      <c r="E34" s="28" t="n">
        <f aca="false">-(E12+E13)*Assumptions!$C$51</f>
        <v>-588713.4</v>
      </c>
      <c r="F34" s="28" t="n">
        <f aca="false">-(F12+F13)*Assumptions!$C$51</f>
        <v>-657973.8</v>
      </c>
      <c r="G34" s="28" t="n">
        <f aca="false">-(G12+G13)*Assumptions!$C$51</f>
        <v>-692604</v>
      </c>
      <c r="H34" s="28" t="n">
        <f aca="false">-(H12+H13)*Assumptions!$C$51</f>
        <v>-713382.12</v>
      </c>
      <c r="I34" s="28" t="n">
        <f aca="false">-(I12+I13)*Assumptions!$C$51</f>
        <v>-734783.5836</v>
      </c>
    </row>
    <row r="35" customFormat="false" ht="15" hidden="false" customHeight="false" outlineLevel="0" collapsed="false">
      <c r="A35" s="27" t="s">
        <v>326</v>
      </c>
      <c r="C35" s="28" t="n">
        <f aca="false">-(C14+C15+C16)*Assumptions!$C$62</f>
        <v>-174372.48</v>
      </c>
      <c r="D35" s="28" t="n">
        <f aca="false">-(D14+D15+D16)*Assumptions!$C$62</f>
        <v>-283355.28</v>
      </c>
      <c r="E35" s="28" t="n">
        <f aca="false">-(E14+E15+E16)*Assumptions!$C$62</f>
        <v>-370541.52</v>
      </c>
      <c r="F35" s="28" t="n">
        <f aca="false">-(F14+F15+F16)*Assumptions!$C$62</f>
        <v>-414134.64</v>
      </c>
      <c r="G35" s="28" t="n">
        <f aca="false">-(G14+G15+G16)*Assumptions!$C$62</f>
        <v>-435931.2</v>
      </c>
      <c r="H35" s="28" t="n">
        <f aca="false">-(H14+H15+H16)*Assumptions!$C$62</f>
        <v>-449009.136</v>
      </c>
      <c r="I35" s="28" t="n">
        <f aca="false">-(I14+I15+I16)*Assumptions!$C$62</f>
        <v>-462479.41008</v>
      </c>
    </row>
    <row r="36" customFormat="false" ht="15" hidden="false" customHeight="false" outlineLevel="0" collapsed="false">
      <c r="A36" s="27" t="s">
        <v>327</v>
      </c>
      <c r="C36" s="28" t="n">
        <f aca="false">-C17*Assumptions!$C$67</f>
        <v>-76204.8</v>
      </c>
      <c r="D36" s="28" t="n">
        <f aca="false">-D17*Assumptions!$C$67</f>
        <v>-123832.8</v>
      </c>
      <c r="E36" s="28" t="n">
        <f aca="false">-E17*Assumptions!$C$67</f>
        <v>-161935.2</v>
      </c>
      <c r="F36" s="28" t="n">
        <f aca="false">-F17*Assumptions!$C$67</f>
        <v>-180986.4</v>
      </c>
      <c r="G36" s="28" t="n">
        <f aca="false">-G17*Assumptions!$C$67</f>
        <v>-190512</v>
      </c>
      <c r="H36" s="28" t="n">
        <f aca="false">-H17*Assumptions!$C$67</f>
        <v>-196227.36</v>
      </c>
      <c r="I36" s="28" t="n">
        <f aca="false">-I17*Assumptions!$C$67</f>
        <v>-202114.1808</v>
      </c>
    </row>
    <row r="37" customFormat="false" ht="15" hidden="false" customHeight="false" outlineLevel="0" collapsed="false">
      <c r="A37" s="27" t="s">
        <v>30</v>
      </c>
      <c r="C37" s="28" t="n">
        <f aca="false">-C18*Assumptions!$C$70</f>
        <v>-112000</v>
      </c>
      <c r="D37" s="28" t="n">
        <f aca="false">-D18*Assumptions!$C$70</f>
        <v>-182000</v>
      </c>
      <c r="E37" s="28" t="n">
        <f aca="false">-E18*Assumptions!$C$70</f>
        <v>-238000</v>
      </c>
      <c r="F37" s="28" t="n">
        <f aca="false">-F18*Assumptions!$C$70</f>
        <v>-266000</v>
      </c>
      <c r="G37" s="28" t="n">
        <f aca="false">-G18*Assumptions!$C$70</f>
        <v>-280000</v>
      </c>
      <c r="H37" s="28" t="n">
        <f aca="false">-H18*Assumptions!$C$70</f>
        <v>-288400</v>
      </c>
      <c r="I37" s="28" t="n">
        <f aca="false">-I18*Assumptions!$C$70</f>
        <v>-297052</v>
      </c>
    </row>
    <row r="38" customFormat="false" ht="15" hidden="false" customHeight="false" outlineLevel="0" collapsed="false">
      <c r="A38" s="27" t="s">
        <v>31</v>
      </c>
      <c r="C38" s="28" t="n">
        <f aca="false">-C19*Assumptions!$C$76</f>
        <v>-321300</v>
      </c>
      <c r="D38" s="28" t="n">
        <f aca="false">-D19*Assumptions!$C$76</f>
        <v>-522112.5</v>
      </c>
      <c r="E38" s="28" t="n">
        <f aca="false">-E19*Assumptions!$C$76</f>
        <v>-682762.5</v>
      </c>
      <c r="F38" s="28" t="n">
        <f aca="false">-F19*Assumptions!$C$76</f>
        <v>-763087.5</v>
      </c>
      <c r="G38" s="28" t="n">
        <f aca="false">-G19*Assumptions!$C$76</f>
        <v>-803250</v>
      </c>
      <c r="H38" s="28" t="n">
        <f aca="false">-H19*Assumptions!$C$76</f>
        <v>-827347.5</v>
      </c>
      <c r="I38" s="28" t="n">
        <f aca="false">-I19*Assumptions!$C$76</f>
        <v>-852167.925</v>
      </c>
    </row>
    <row r="39" customFormat="false" ht="15" hidden="false" customHeight="false" outlineLevel="0" collapsed="false">
      <c r="A39" s="27" t="s">
        <v>32</v>
      </c>
      <c r="C39" s="28" t="n">
        <f aca="false">-C20*Assumptions!$C$79</f>
        <v>-33333</v>
      </c>
      <c r="D39" s="28" t="n">
        <f aca="false">-D20*Assumptions!$C$79</f>
        <v>-54166.125</v>
      </c>
      <c r="E39" s="28" t="n">
        <f aca="false">-E20*Assumptions!$C$79</f>
        <v>-70832.625</v>
      </c>
      <c r="F39" s="28" t="n">
        <f aca="false">-F20*Assumptions!$C$79</f>
        <v>-79165.875</v>
      </c>
      <c r="G39" s="28" t="n">
        <f aca="false">-G20*Assumptions!$C$79</f>
        <v>-83332.5</v>
      </c>
      <c r="H39" s="28" t="n">
        <f aca="false">-H20*Assumptions!$C$79</f>
        <v>-85832.475</v>
      </c>
      <c r="I39" s="28" t="n">
        <f aca="false">-I20*Assumptions!$C$79</f>
        <v>-88407.44925</v>
      </c>
    </row>
    <row r="40" customFormat="false" ht="15" hidden="false" customHeight="false" outlineLevel="0" collapsed="false">
      <c r="A40" s="9" t="s">
        <v>328</v>
      </c>
      <c r="C40" s="26" t="n">
        <f aca="false">SUM(C31:C39)</f>
        <v>-2282591.08</v>
      </c>
      <c r="D40" s="26" t="n">
        <f aca="false">SUM(D31:D39)</f>
        <v>-3709210.505</v>
      </c>
      <c r="E40" s="26" t="n">
        <f aca="false">SUM(E31:E39)</f>
        <v>-4850506.045</v>
      </c>
      <c r="F40" s="26" t="n">
        <f aca="false">SUM(F31:F39)</f>
        <v>-5421153.815</v>
      </c>
      <c r="G40" s="26" t="n">
        <f aca="false">SUM(G31:G39)</f>
        <v>-5706477.7</v>
      </c>
      <c r="H40" s="26" t="n">
        <f aca="false">SUM(H31:H39)</f>
        <v>-5877672.031</v>
      </c>
      <c r="I40" s="26" t="n">
        <f aca="false">SUM(I31:I39)</f>
        <v>-6054002.19193</v>
      </c>
    </row>
    <row r="41" customFormat="false" ht="15" hidden="false" customHeight="false" outlineLevel="0" collapsed="false">
      <c r="A41" s="9" t="s">
        <v>329</v>
      </c>
      <c r="C41" s="26" t="n">
        <f aca="false">C21+C40</f>
        <v>4238114.92</v>
      </c>
      <c r="D41" s="26" t="n">
        <f aca="false">D21+D40</f>
        <v>6886936.745</v>
      </c>
      <c r="E41" s="26" t="n">
        <f aca="false">E21+E40</f>
        <v>9005994.205</v>
      </c>
      <c r="F41" s="26" t="n">
        <f aca="false">F21+F40</f>
        <v>10065522.935</v>
      </c>
      <c r="G41" s="26" t="n">
        <f aca="false">G21+G40</f>
        <v>10595287.3</v>
      </c>
      <c r="H41" s="26" t="n">
        <f aca="false">H21+H40</f>
        <v>10913145.919</v>
      </c>
      <c r="I41" s="26" t="n">
        <f aca="false">I21+I40</f>
        <v>11240540.29657</v>
      </c>
    </row>
    <row r="43" customFormat="false" ht="15" hidden="false" customHeight="false" outlineLevel="0" collapsed="false">
      <c r="A43" s="31" t="s">
        <v>250</v>
      </c>
      <c r="B43" s="32"/>
      <c r="C43" s="32"/>
      <c r="D43" s="32"/>
      <c r="E43" s="32"/>
      <c r="F43" s="32"/>
      <c r="G43" s="32"/>
      <c r="H43" s="32"/>
      <c r="I43" s="32"/>
    </row>
    <row r="44" customFormat="false" ht="15" hidden="false" customHeight="false" outlineLevel="0" collapsed="false">
      <c r="A44" s="27" t="s">
        <v>330</v>
      </c>
      <c r="C44" s="28" t="n">
        <f aca="false">-Assumptions!$C$5*Assumptions!$C$81*12</f>
        <v>-780000</v>
      </c>
      <c r="D44" s="28" t="n">
        <f aca="false">-Assumptions!$C$5*Assumptions!$C$81*12</f>
        <v>-780000</v>
      </c>
      <c r="E44" s="28" t="n">
        <f aca="false">-Assumptions!$C$5*Assumptions!$C$81*12</f>
        <v>-780000</v>
      </c>
      <c r="F44" s="28" t="n">
        <f aca="false">-Assumptions!$C$5*Assumptions!$C$81*12</f>
        <v>-780000</v>
      </c>
      <c r="G44" s="28" t="n">
        <f aca="false">-Assumptions!$C$5*Assumptions!$C$81*12</f>
        <v>-780000</v>
      </c>
      <c r="H44" s="28" t="n">
        <f aca="false">-Assumptions!$C$5*Assumptions!$C$81*12</f>
        <v>-780000</v>
      </c>
      <c r="I44" s="28" t="n">
        <f aca="false">-Assumptions!$C$5*Assumptions!$C$81*12</f>
        <v>-780000</v>
      </c>
    </row>
    <row r="45" customFormat="false" ht="15" hidden="false" customHeight="false" outlineLevel="0" collapsed="false">
      <c r="A45" s="27" t="s">
        <v>331</v>
      </c>
      <c r="C45" s="28" t="n">
        <f aca="false">-Assumptions!$C$82</f>
        <v>-1400000</v>
      </c>
      <c r="D45" s="28" t="n">
        <f aca="false">-Assumptions!$C$82</f>
        <v>-1400000</v>
      </c>
      <c r="E45" s="28" t="n">
        <f aca="false">-Assumptions!$C$82</f>
        <v>-1400000</v>
      </c>
      <c r="F45" s="28" t="n">
        <f aca="false">-Assumptions!$C$82</f>
        <v>-1400000</v>
      </c>
      <c r="G45" s="28" t="n">
        <f aca="false">-Assumptions!$C$82</f>
        <v>-1400000</v>
      </c>
      <c r="H45" s="28" t="n">
        <f aca="false">-Assumptions!$C$82</f>
        <v>-1400000</v>
      </c>
      <c r="I45" s="28" t="n">
        <f aca="false">-Assumptions!$C$82</f>
        <v>-1400000</v>
      </c>
    </row>
    <row r="46" customFormat="false" ht="15" hidden="false" customHeight="false" outlineLevel="0" collapsed="false">
      <c r="A46" s="27" t="s">
        <v>332</v>
      </c>
      <c r="C46" s="28" t="n">
        <f aca="false">-C21*Assumptions!$C$83</f>
        <v>-391242.36</v>
      </c>
      <c r="D46" s="28" t="n">
        <f aca="false">-D21*Assumptions!$C$83</f>
        <v>-635768.835</v>
      </c>
      <c r="E46" s="28" t="n">
        <f aca="false">-E21*Assumptions!$C$83</f>
        <v>-831390.015</v>
      </c>
      <c r="F46" s="28" t="n">
        <f aca="false">-F21*Assumptions!$C$83</f>
        <v>-929200.605</v>
      </c>
      <c r="G46" s="28" t="n">
        <f aca="false">-G21*Assumptions!$C$83</f>
        <v>-978105.9</v>
      </c>
      <c r="H46" s="28" t="n">
        <f aca="false">-H21*Assumptions!$C$83</f>
        <v>-1007449.077</v>
      </c>
      <c r="I46" s="28" t="n">
        <f aca="false">-I21*Assumptions!$C$83</f>
        <v>-1037672.54931</v>
      </c>
    </row>
    <row r="47" customFormat="false" ht="15" hidden="false" customHeight="false" outlineLevel="0" collapsed="false">
      <c r="A47" s="27" t="s">
        <v>333</v>
      </c>
      <c r="C47" s="28" t="n">
        <f aca="false">-MIN(Assumptions!$C$86,Assumptions!$C$84*IF(Assumptions!$C$85=1,C21,MAX(0,C18+C37+C19+C38)))</f>
        <v>-80470</v>
      </c>
      <c r="D47" s="28" t="n">
        <f aca="false">-MIN(Assumptions!$C$86,Assumptions!$C$84*IF(Assumptions!$C$85=1,D21,MAX(0,D18+D37+D19+D38)))</f>
        <v>-130763.75</v>
      </c>
      <c r="E47" s="28" t="n">
        <f aca="false">-MIN(Assumptions!$C$86,Assumptions!$C$84*IF(Assumptions!$C$85=1,E21,MAX(0,E18+E37+E19+E38)))</f>
        <v>-170998.75</v>
      </c>
      <c r="F47" s="28" t="n">
        <f aca="false">-MIN(Assumptions!$C$86,Assumptions!$C$84*IF(Assumptions!$C$85=1,F21,MAX(0,F18+F37+F19+F38)))</f>
        <v>-191116.25</v>
      </c>
      <c r="G47" s="28" t="n">
        <f aca="false">-MIN(Assumptions!$C$86,Assumptions!$C$84*IF(Assumptions!$C$85=1,G21,MAX(0,G18+G37+G19+G38)))</f>
        <v>-201175</v>
      </c>
      <c r="H47" s="28" t="n">
        <f aca="false">-MIN(Assumptions!$C$86,Assumptions!$C$84*IF(Assumptions!$C$85=1,H21,MAX(0,H18+H37+H19+H38)))</f>
        <v>-207210.25</v>
      </c>
      <c r="I47" s="28" t="n">
        <f aca="false">-MIN(Assumptions!$C$86,Assumptions!$C$84*IF(Assumptions!$C$85=1,I21,MAX(0,I18+I37+I19+I38)))</f>
        <v>-213426.5575</v>
      </c>
    </row>
    <row r="48" customFormat="false" ht="15" hidden="false" customHeight="false" outlineLevel="0" collapsed="false">
      <c r="A48" s="9" t="s">
        <v>334</v>
      </c>
      <c r="C48" s="26" t="n">
        <f aca="false">C41+SUM(C44:C47)</f>
        <v>1586402.56</v>
      </c>
      <c r="D48" s="26" t="n">
        <f aca="false">D41+SUM(D44:D47)</f>
        <v>3940404.16</v>
      </c>
      <c r="E48" s="26" t="n">
        <f aca="false">E41+SUM(E44:E47)</f>
        <v>5823605.44</v>
      </c>
      <c r="F48" s="26" t="n">
        <f aca="false">F41+SUM(F44:F47)</f>
        <v>6765206.08</v>
      </c>
      <c r="G48" s="26" t="n">
        <f aca="false">G41+SUM(G44:G47)</f>
        <v>7236006.4</v>
      </c>
      <c r="H48" s="26" t="n">
        <f aca="false">H41+SUM(H44:H47)</f>
        <v>7518486.592</v>
      </c>
      <c r="I48" s="26" t="n">
        <f aca="false">I41+SUM(I44:I47)</f>
        <v>7809441.18976</v>
      </c>
    </row>
    <row r="49" customFormat="false" ht="15" hidden="false" customHeight="false" outlineLevel="0" collapsed="false">
      <c r="A49" s="27" t="s">
        <v>335</v>
      </c>
      <c r="C49" s="29" t="n">
        <f aca="false">IF(C21=0,0,C48/C21)</f>
        <v>0.243286932427256</v>
      </c>
      <c r="D49" s="29" t="n">
        <f aca="false">IF(D21=0,0,D48/D21)</f>
        <v>0.371871404486192</v>
      </c>
      <c r="E49" s="29" t="n">
        <f aca="false">IF(E21=0,0,E48/E21)</f>
        <v>0.420279676320144</v>
      </c>
      <c r="F49" s="29" t="n">
        <f aca="false">IF(F21=0,0,F48/F21)</f>
        <v>0.436840400894918</v>
      </c>
      <c r="G49" s="29" t="n">
        <f aca="false">IF(G21=0,0,G48/G21)</f>
        <v>0.443878708839196</v>
      </c>
      <c r="H49" s="29" t="n">
        <f aca="false">IF(H21=0,0,H48/H21)</f>
        <v>0.447773694788943</v>
      </c>
      <c r="I49" s="29" t="n">
        <f aca="false">IF(I21=0,0,I48/I21)</f>
        <v>0.451555234545978</v>
      </c>
    </row>
    <row r="51" customFormat="false" ht="15" hidden="false" customHeight="false" outlineLevel="0" collapsed="false">
      <c r="A51" s="31" t="s">
        <v>336</v>
      </c>
      <c r="B51" s="32"/>
      <c r="C51" s="32"/>
      <c r="D51" s="32"/>
      <c r="E51" s="32"/>
      <c r="F51" s="32"/>
      <c r="G51" s="32"/>
      <c r="H51" s="32"/>
      <c r="I51" s="32"/>
    </row>
    <row r="52" customFormat="false" ht="15" hidden="false" customHeight="false" outlineLevel="0" collapsed="false">
      <c r="A52" s="27" t="s">
        <v>337</v>
      </c>
      <c r="C52" s="28" t="n">
        <f aca="false">-Assumptions!$C$88*MAX(0,C48)</f>
        <v>-396600.64</v>
      </c>
      <c r="D52" s="28" t="n">
        <f aca="false">-Assumptions!$C$88*MAX(0,D48)</f>
        <v>-985101.04</v>
      </c>
      <c r="E52" s="28" t="n">
        <f aca="false">-Assumptions!$C$88*MAX(0,E48)</f>
        <v>-1455901.36</v>
      </c>
      <c r="F52" s="28" t="n">
        <f aca="false">-Assumptions!$C$88*MAX(0,F48)</f>
        <v>-1691301.52</v>
      </c>
      <c r="G52" s="28" t="n">
        <f aca="false">-Assumptions!$C$88*MAX(0,G48)</f>
        <v>-1809001.6</v>
      </c>
      <c r="H52" s="28" t="n">
        <f aca="false">-Assumptions!$C$88*MAX(0,H48)</f>
        <v>-1879621.648</v>
      </c>
      <c r="I52" s="28" t="n">
        <f aca="false">-Assumptions!$C$88*MAX(0,I48)</f>
        <v>-1952360.29744</v>
      </c>
    </row>
    <row r="53" customFormat="false" ht="15" hidden="false" customHeight="false" outlineLevel="0" collapsed="false">
      <c r="A53" s="27" t="s">
        <v>338</v>
      </c>
      <c r="C53" s="39" t="n">
        <f aca="false">-C52/Assumptions!$C$5</f>
        <v>3.9660064</v>
      </c>
      <c r="D53" s="39" t="n">
        <f aca="false">-D52/Assumptions!$C$5</f>
        <v>9.8510104</v>
      </c>
      <c r="E53" s="39" t="n">
        <f aca="false">-E52/Assumptions!$C$5</f>
        <v>14.5590136</v>
      </c>
      <c r="F53" s="39" t="n">
        <f aca="false">-F52/Assumptions!$C$5</f>
        <v>16.9130152</v>
      </c>
      <c r="G53" s="39" t="n">
        <f aca="false">-G52/Assumptions!$C$5</f>
        <v>18.090016</v>
      </c>
      <c r="H53" s="39" t="n">
        <f aca="false">-H52/Assumptions!$C$5</f>
        <v>18.79621648</v>
      </c>
      <c r="I53" s="39" t="n">
        <f aca="false">-I52/Assumptions!$C$5</f>
        <v>19.5236029744</v>
      </c>
    </row>
    <row r="54" customFormat="false" ht="15" hidden="false" customHeight="false" outlineLevel="0" collapsed="false">
      <c r="A54" s="27" t="s">
        <v>339</v>
      </c>
      <c r="C54" s="28" t="n">
        <f aca="false">Assumptions!$C$89*Assumptions!$C$5</f>
        <v>1200000</v>
      </c>
      <c r="D54" s="28" t="n">
        <f aca="false">Assumptions!$C$89*Assumptions!$C$5</f>
        <v>1200000</v>
      </c>
      <c r="E54" s="28" t="n">
        <f aca="false">Assumptions!$C$89*Assumptions!$C$5</f>
        <v>1200000</v>
      </c>
      <c r="F54" s="28" t="n">
        <f aca="false">Assumptions!$C$89*Assumptions!$C$5</f>
        <v>1200000</v>
      </c>
      <c r="G54" s="28" t="n">
        <f aca="false">Assumptions!$C$89*Assumptions!$C$5</f>
        <v>1200000</v>
      </c>
      <c r="H54" s="28" t="n">
        <f aca="false">Assumptions!$C$89*Assumptions!$C$5</f>
        <v>1200000</v>
      </c>
      <c r="I54" s="28" t="n">
        <f aca="false">Assumptions!$C$89*Assumptions!$C$5</f>
        <v>1200000</v>
      </c>
    </row>
    <row r="55" customFormat="false" ht="15" hidden="false" customHeight="false" outlineLevel="0" collapsed="false">
      <c r="A55" s="27" t="s">
        <v>340</v>
      </c>
      <c r="C55" s="40" t="n">
        <f aca="false">IF(C54=0,0,-C52/C54)</f>
        <v>0.330500533333333</v>
      </c>
      <c r="D55" s="40" t="n">
        <f aca="false">IF(D54=0,0,-D52/D54)</f>
        <v>0.820917533333333</v>
      </c>
      <c r="E55" s="40" t="n">
        <f aca="false">IF(E54=0,0,-E52/E54)</f>
        <v>1.21325113333333</v>
      </c>
      <c r="F55" s="40" t="n">
        <f aca="false">IF(F54=0,0,-F52/F54)</f>
        <v>1.40941793333333</v>
      </c>
      <c r="G55" s="40" t="n">
        <f aca="false">IF(G54=0,0,-G52/G54)</f>
        <v>1.50750133333333</v>
      </c>
      <c r="H55" s="40" t="n">
        <f aca="false">IF(H54=0,0,-H52/H54)</f>
        <v>1.56635137333333</v>
      </c>
      <c r="I55" s="40" t="n">
        <f aca="false">IF(I54=0,0,-I52/I54)</f>
        <v>1.62696691453333</v>
      </c>
    </row>
    <row r="57" customFormat="false" ht="15" hidden="false" customHeight="false" outlineLevel="0" collapsed="false">
      <c r="A57" s="31" t="s">
        <v>341</v>
      </c>
      <c r="B57" s="32"/>
      <c r="C57" s="32"/>
      <c r="D57" s="32"/>
      <c r="E57" s="32"/>
      <c r="F57" s="32"/>
      <c r="G57" s="32"/>
      <c r="H57" s="32"/>
      <c r="I57" s="32"/>
    </row>
    <row r="58" customFormat="false" ht="15" hidden="false" customHeight="false" outlineLevel="0" collapsed="false">
      <c r="A58" s="27" t="s">
        <v>342</v>
      </c>
      <c r="C58" s="28" t="n">
        <f aca="false">-Assumptions!$C$90</f>
        <v>-850000</v>
      </c>
      <c r="D58" s="28" t="n">
        <f aca="false">-Assumptions!$C$90</f>
        <v>-850000</v>
      </c>
      <c r="E58" s="28" t="n">
        <f aca="false">-Assumptions!$C$90</f>
        <v>-850000</v>
      </c>
      <c r="F58" s="28" t="n">
        <f aca="false">-Assumptions!$C$90</f>
        <v>-850000</v>
      </c>
      <c r="G58" s="28" t="n">
        <f aca="false">-Assumptions!$C$90</f>
        <v>-850000</v>
      </c>
      <c r="H58" s="28" t="n">
        <f aca="false">-Assumptions!$C$90</f>
        <v>-850000</v>
      </c>
      <c r="I58" s="28" t="n">
        <f aca="false">-Assumptions!$C$90</f>
        <v>-850000</v>
      </c>
    </row>
    <row r="59" customFormat="false" ht="15" hidden="false" customHeight="false" outlineLevel="0" collapsed="false">
      <c r="A59" s="9" t="s">
        <v>343</v>
      </c>
      <c r="C59" s="26" t="n">
        <f aca="false">C48+C52+C58</f>
        <v>339801.92</v>
      </c>
      <c r="D59" s="26" t="n">
        <f aca="false">D48+D52+D58</f>
        <v>2105303.12</v>
      </c>
      <c r="E59" s="26" t="n">
        <f aca="false">E48+E52+E58</f>
        <v>3517704.08</v>
      </c>
      <c r="F59" s="26" t="n">
        <f aca="false">F48+F52+F58</f>
        <v>4223904.56</v>
      </c>
      <c r="G59" s="26" t="n">
        <f aca="false">G48+G52+G58</f>
        <v>4577004.8</v>
      </c>
      <c r="H59" s="26" t="n">
        <f aca="false">H48+H52+H58</f>
        <v>4788864.944</v>
      </c>
      <c r="I59" s="26" t="n">
        <f aca="false">I48+I52+I58</f>
        <v>5007080.89232</v>
      </c>
    </row>
    <row r="60" customFormat="false" ht="15" hidden="false" customHeight="false" outlineLevel="0" collapsed="false">
      <c r="A60" s="27" t="s">
        <v>99</v>
      </c>
      <c r="C60" s="28" t="n">
        <f aca="false">IF(1&gt;=2,-C21*Assumptions!$C$91,0)</f>
        <v>0</v>
      </c>
      <c r="D60" s="28" t="n">
        <f aca="false">IF(2&gt;=2,-D21*Assumptions!$C$91,0)</f>
        <v>-211922.945</v>
      </c>
      <c r="E60" s="28" t="n">
        <f aca="false">IF(3&gt;=2,-E21*Assumptions!$C$91,0)</f>
        <v>-277130.005</v>
      </c>
      <c r="F60" s="28" t="n">
        <f aca="false">IF(4&gt;=2,-F21*Assumptions!$C$91,0)</f>
        <v>-309733.535</v>
      </c>
      <c r="G60" s="28" t="n">
        <f aca="false">IF(5&gt;=2,-G21*Assumptions!$C$91,0)</f>
        <v>-326035.3</v>
      </c>
      <c r="H60" s="28" t="n">
        <f aca="false">IF(6&gt;=2,-H21*Assumptions!$C$91,0)</f>
        <v>-335816.359</v>
      </c>
      <c r="I60" s="28" t="n">
        <f aca="false">IF(7&gt;=2,-I21*Assumptions!$C$91,0)</f>
        <v>-345890.84977</v>
      </c>
    </row>
    <row r="61" customFormat="false" ht="15" hidden="false" customHeight="false" outlineLevel="0" collapsed="false">
      <c r="A61" s="27" t="s">
        <v>6</v>
      </c>
      <c r="B61" s="28" t="n">
        <f aca="false">-Assumptions!$C$110</f>
        <v>-6250000</v>
      </c>
      <c r="C61" s="28" t="n">
        <f aca="false">0</f>
        <v>0</v>
      </c>
      <c r="D61" s="28" t="n">
        <f aca="false">0</f>
        <v>0</v>
      </c>
      <c r="E61" s="28" t="n">
        <f aca="false">0</f>
        <v>0</v>
      </c>
      <c r="F61" s="28" t="n">
        <f aca="false">0</f>
        <v>0</v>
      </c>
      <c r="G61" s="28" t="n">
        <f aca="false">0</f>
        <v>0</v>
      </c>
      <c r="H61" s="28" t="n">
        <f aca="false">0</f>
        <v>0</v>
      </c>
      <c r="I61" s="28" t="n">
        <f aca="false">0</f>
        <v>0</v>
      </c>
    </row>
    <row r="62" customFormat="false" ht="15" hidden="false" customHeight="false" outlineLevel="0" collapsed="false">
      <c r="A62" s="9" t="s">
        <v>344</v>
      </c>
      <c r="B62" s="26" t="n">
        <f aca="false">B61</f>
        <v>-6250000</v>
      </c>
      <c r="C62" s="26" t="n">
        <f aca="false">C59+C60+C61</f>
        <v>339801.92</v>
      </c>
      <c r="D62" s="26" t="n">
        <f aca="false">D59+D60+D61</f>
        <v>1893380.175</v>
      </c>
      <c r="E62" s="26" t="n">
        <f aca="false">E59+E60+E61</f>
        <v>3240574.075</v>
      </c>
      <c r="F62" s="26" t="n">
        <f aca="false">F59+F60+F61</f>
        <v>3914171.025</v>
      </c>
      <c r="G62" s="26" t="n">
        <f aca="false">G59+G60+G61</f>
        <v>4250969.5</v>
      </c>
      <c r="H62" s="26" t="n">
        <f aca="false">H59+H60+H61</f>
        <v>4453048.585</v>
      </c>
      <c r="I62" s="26" t="n">
        <f aca="false">I59+I60+I61</f>
        <v>4661190.04255</v>
      </c>
    </row>
    <row r="63" customFormat="false" ht="15" hidden="false" customHeight="false" outlineLevel="0" collapsed="false">
      <c r="A63" s="27" t="s">
        <v>345</v>
      </c>
      <c r="B63" s="28" t="n">
        <v>0</v>
      </c>
      <c r="C63" s="28" t="n">
        <f aca="false">IF(1=7,Assumptions!$C$109*(C59+C60),0)</f>
        <v>0</v>
      </c>
      <c r="D63" s="28" t="n">
        <f aca="false">IF(2=7,Assumptions!$C$109*(D59+D60),0)</f>
        <v>0</v>
      </c>
      <c r="E63" s="28" t="n">
        <f aca="false">IF(3=7,Assumptions!$C$109*(E59+E60),0)</f>
        <v>0</v>
      </c>
      <c r="F63" s="28" t="n">
        <f aca="false">IF(4=7,Assumptions!$C$109*(F59+F60),0)</f>
        <v>0</v>
      </c>
      <c r="G63" s="28" t="n">
        <f aca="false">IF(5=7,Assumptions!$C$109*(G59+G60),0)</f>
        <v>0</v>
      </c>
      <c r="H63" s="28" t="n">
        <f aca="false">IF(6=7,Assumptions!$C$109*(H59+H60),0)</f>
        <v>0</v>
      </c>
      <c r="I63" s="28" t="n">
        <f aca="false">IF(7=7,Assumptions!$C$109*(I59+I60),0)</f>
        <v>32628330.29785</v>
      </c>
    </row>
    <row r="64" customFormat="false" ht="15" hidden="false" customHeight="false" outlineLevel="0" collapsed="false">
      <c r="A64" s="9" t="s">
        <v>346</v>
      </c>
      <c r="B64" s="26" t="n">
        <f aca="false">B62</f>
        <v>-6250000</v>
      </c>
      <c r="C64" s="26" t="n">
        <f aca="false">C62+C63</f>
        <v>339801.92</v>
      </c>
      <c r="D64" s="26" t="n">
        <f aca="false">D62+D63</f>
        <v>1893380.175</v>
      </c>
      <c r="E64" s="26" t="n">
        <f aca="false">E62+E63</f>
        <v>3240574.075</v>
      </c>
      <c r="F64" s="26" t="n">
        <f aca="false">F62+F63</f>
        <v>3914171.025</v>
      </c>
      <c r="G64" s="26" t="n">
        <f aca="false">G62+G63</f>
        <v>4250969.5</v>
      </c>
      <c r="H64" s="26" t="n">
        <f aca="false">H62+H63</f>
        <v>4453048.585</v>
      </c>
      <c r="I64" s="26" t="n">
        <f aca="false">I62+I63</f>
        <v>37289520.3404</v>
      </c>
    </row>
    <row r="65" customFormat="false" ht="15" hidden="false" customHeight="false" outlineLevel="0" collapsed="false">
      <c r="A65" s="27" t="s">
        <v>347</v>
      </c>
      <c r="B65" s="28" t="n">
        <f aca="false">B62</f>
        <v>-6250000</v>
      </c>
      <c r="C65" s="28" t="n">
        <f aca="false">B65+C62</f>
        <v>-5910198.08</v>
      </c>
      <c r="D65" s="28" t="n">
        <f aca="false">C65+D62</f>
        <v>-4016817.905</v>
      </c>
      <c r="E65" s="28" t="n">
        <f aca="false">D65+E62</f>
        <v>-776243.83</v>
      </c>
      <c r="F65" s="28" t="n">
        <f aca="false">E65+F62</f>
        <v>3137927.195</v>
      </c>
      <c r="G65" s="28" t="n">
        <f aca="false">F65+G62</f>
        <v>7388896.695</v>
      </c>
      <c r="H65" s="28" t="n">
        <f aca="false">G65+H62</f>
        <v>11841945.28</v>
      </c>
      <c r="I65" s="28" t="n">
        <f aca="false">H65+I62</f>
        <v>16503135.32255</v>
      </c>
    </row>
    <row r="67" customFormat="false" ht="15" hidden="false" customHeight="false" outlineLevel="0" collapsed="false">
      <c r="A67" s="31" t="s">
        <v>290</v>
      </c>
      <c r="B67" s="32"/>
      <c r="C67" s="32"/>
      <c r="D67" s="32"/>
      <c r="E67" s="32"/>
      <c r="F67" s="32"/>
      <c r="G67" s="32"/>
      <c r="H67" s="32"/>
      <c r="I67" s="32"/>
    </row>
    <row r="68" customFormat="false" ht="15" hidden="false" customHeight="false" outlineLevel="0" collapsed="false">
      <c r="A68" s="0" t="s">
        <v>17</v>
      </c>
      <c r="B68" s="41" t="n">
        <f aca="false">IFERROR(IRR(B62:I62),"n/a (never recovers)")</f>
        <v>0.338547362913211</v>
      </c>
    </row>
    <row r="69" customFormat="false" ht="15" hidden="false" customHeight="false" outlineLevel="0" collapsed="false">
      <c r="A69" s="0" t="s">
        <v>18</v>
      </c>
      <c r="B69" s="41" t="n">
        <f aca="false">IFERROR(IRR(B64:I64),"n/a")</f>
        <v>0.483876942522916</v>
      </c>
    </row>
    <row r="70" customFormat="false" ht="15" hidden="false" customHeight="false" outlineLevel="0" collapsed="false">
      <c r="A70" s="0" t="s">
        <v>348</v>
      </c>
      <c r="B70" s="26" t="n">
        <f aca="false">B62+NPV(Assumptions!$C$108,C62:I62)</f>
        <v>5636790.3178153</v>
      </c>
    </row>
    <row r="71" customFormat="false" ht="15" hidden="false" customHeight="false" outlineLevel="0" collapsed="false">
      <c r="A71" s="0" t="s">
        <v>349</v>
      </c>
      <c r="B71" s="26" t="n">
        <f aca="false">B64+NPV(Assumptions!$C$108,C64:I64)</f>
        <v>17902988.227622</v>
      </c>
    </row>
    <row r="72" customFormat="false" ht="15" hidden="false" customHeight="false" outlineLevel="0" collapsed="false">
      <c r="A72" s="0" t="s">
        <v>21</v>
      </c>
      <c r="B72" s="41" t="n">
        <f aca="false">SUM(C62:I62)/-B62</f>
        <v>3.640501651608</v>
      </c>
    </row>
    <row r="73" customFormat="false" ht="15" hidden="false" customHeight="false" outlineLevel="0" collapsed="false">
      <c r="A73" s="0" t="s">
        <v>22</v>
      </c>
      <c r="B73" s="41" t="n">
        <f aca="false">SUM(C64:I64)/-B64</f>
        <v>8.861034499264</v>
      </c>
    </row>
    <row r="74" customFormat="false" ht="15" hidden="false" customHeight="false" outlineLevel="0" collapsed="false">
      <c r="A74" s="0" t="s">
        <v>23</v>
      </c>
      <c r="B74" s="42" t="str">
        <f aca="false">IFERROR(INDEX($C$3:$I$3,MATCH(TRUE(),INDEX(C65:I65&gt;=0,0),0)),"beyond Y7")</f>
        <v>Y4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8"/>
    <col collapsed="false" customWidth="true" hidden="false" outlineLevel="0" max="9" min="2" style="0" width="14"/>
  </cols>
  <sheetData>
    <row r="1" customFormat="false" ht="15" hidden="false" customHeight="false" outlineLevel="0" collapsed="false">
      <c r="A1" s="37" t="s">
        <v>351</v>
      </c>
    </row>
    <row r="3" customFormat="false" ht="15" hidden="false" customHeight="false" outlineLevel="0" collapsed="false">
      <c r="A3" s="3" t="s">
        <v>57</v>
      </c>
      <c r="B3" s="38" t="s">
        <v>297</v>
      </c>
      <c r="C3" s="38" t="s">
        <v>58</v>
      </c>
      <c r="D3" s="38" t="s">
        <v>59</v>
      </c>
      <c r="E3" s="38" t="s">
        <v>60</v>
      </c>
      <c r="F3" s="38" t="s">
        <v>61</v>
      </c>
      <c r="G3" s="38" t="s">
        <v>62</v>
      </c>
      <c r="H3" s="38" t="s">
        <v>63</v>
      </c>
      <c r="I3" s="38" t="s">
        <v>64</v>
      </c>
    </row>
    <row r="4" customFormat="false" ht="15" hidden="false" customHeight="false" outlineLevel="0" collapsed="false">
      <c r="A4" s="0" t="s">
        <v>298</v>
      </c>
      <c r="C4" s="6" t="n">
        <f aca="false">Assumptions!$D$92</f>
        <v>0.5</v>
      </c>
      <c r="D4" s="6" t="n">
        <f aca="false">Assumptions!$D$93</f>
        <v>0.8</v>
      </c>
      <c r="E4" s="6" t="n">
        <f aca="false">Assumptions!$D$94</f>
        <v>0.95</v>
      </c>
      <c r="F4" s="6" t="n">
        <f aca="false">Assumptions!$D$95</f>
        <v>1</v>
      </c>
      <c r="G4" s="6" t="n">
        <f aca="false">Assumptions!$D$96</f>
        <v>1</v>
      </c>
      <c r="H4" s="29" t="n">
        <f aca="false">G4*(1+Assumptions!$D$97)</f>
        <v>1.05</v>
      </c>
      <c r="I4" s="29" t="n">
        <f aca="false">H4*(1+Assumptions!$D$97)</f>
        <v>1.1025</v>
      </c>
    </row>
    <row r="6" customFormat="false" ht="15" hidden="false" customHeight="false" outlineLevel="0" collapsed="false">
      <c r="A6" s="31" t="s">
        <v>299</v>
      </c>
      <c r="B6" s="32"/>
      <c r="C6" s="32"/>
      <c r="D6" s="32"/>
      <c r="E6" s="32"/>
      <c r="F6" s="32"/>
      <c r="G6" s="32"/>
      <c r="H6" s="32"/>
      <c r="I6" s="32"/>
    </row>
    <row r="7" customFormat="false" ht="15" hidden="false" customHeight="false" outlineLevel="0" collapsed="false">
      <c r="A7" s="27" t="s">
        <v>300</v>
      </c>
      <c r="C7" s="28" t="n">
        <f aca="false">(Assumptions!$D$14*Assumptions!$D$15*Assumptions!$D$16)*(1-Assumptions!$D$19)*Assumptions!$D$17*C$4</f>
        <v>3281850</v>
      </c>
      <c r="D7" s="28" t="n">
        <f aca="false">(Assumptions!$D$14*Assumptions!$D$15*Assumptions!$D$16)*(1-Assumptions!$D$19)*Assumptions!$D$17*D$4</f>
        <v>5250960</v>
      </c>
      <c r="E7" s="28" t="n">
        <f aca="false">(Assumptions!$D$14*Assumptions!$D$15*Assumptions!$D$16)*(1-Assumptions!$D$19)*Assumptions!$D$17*E$4</f>
        <v>6235515</v>
      </c>
      <c r="F7" s="28" t="n">
        <f aca="false">(Assumptions!$D$14*Assumptions!$D$15*Assumptions!$D$16)*(1-Assumptions!$D$19)*Assumptions!$D$17*F$4</f>
        <v>6563700</v>
      </c>
      <c r="G7" s="28" t="n">
        <f aca="false">(Assumptions!$D$14*Assumptions!$D$15*Assumptions!$D$16)*(1-Assumptions!$D$19)*Assumptions!$D$17*G$4</f>
        <v>6563700</v>
      </c>
      <c r="H7" s="28" t="n">
        <f aca="false">(Assumptions!$D$14*Assumptions!$D$15*Assumptions!$D$16)*(1-Assumptions!$D$19)*Assumptions!$D$17*H$4</f>
        <v>6891885</v>
      </c>
      <c r="I7" s="28" t="n">
        <f aca="false">(Assumptions!$D$14*Assumptions!$D$15*Assumptions!$D$16)*(1-Assumptions!$D$19)*Assumptions!$D$17*I$4</f>
        <v>7236479.25</v>
      </c>
    </row>
    <row r="8" customFormat="false" ht="15" hidden="false" customHeight="false" outlineLevel="0" collapsed="false">
      <c r="A8" s="27" t="s">
        <v>301</v>
      </c>
      <c r="C8" s="28" t="n">
        <f aca="false">(Assumptions!$D$14*Assumptions!$D$15*Assumptions!$D$16)*Assumptions!$D$19*Assumptions!$D$18*C$4</f>
        <v>891000</v>
      </c>
      <c r="D8" s="28" t="n">
        <f aca="false">(Assumptions!$D$14*Assumptions!$D$15*Assumptions!$D$16)*Assumptions!$D$19*Assumptions!$D$18*D$4</f>
        <v>1425600</v>
      </c>
      <c r="E8" s="28" t="n">
        <f aca="false">(Assumptions!$D$14*Assumptions!$D$15*Assumptions!$D$16)*Assumptions!$D$19*Assumptions!$D$18*E$4</f>
        <v>1692900</v>
      </c>
      <c r="F8" s="28" t="n">
        <f aca="false">(Assumptions!$D$14*Assumptions!$D$15*Assumptions!$D$16)*Assumptions!$D$19*Assumptions!$D$18*F$4</f>
        <v>1782000</v>
      </c>
      <c r="G8" s="28" t="n">
        <f aca="false">(Assumptions!$D$14*Assumptions!$D$15*Assumptions!$D$16)*Assumptions!$D$19*Assumptions!$D$18*G$4</f>
        <v>1782000</v>
      </c>
      <c r="H8" s="28" t="n">
        <f aca="false">(Assumptions!$D$14*Assumptions!$D$15*Assumptions!$D$16)*Assumptions!$D$19*Assumptions!$D$18*H$4</f>
        <v>1871100</v>
      </c>
      <c r="I8" s="28" t="n">
        <f aca="false">(Assumptions!$D$14*Assumptions!$D$15*Assumptions!$D$16)*Assumptions!$D$19*Assumptions!$D$18*I$4</f>
        <v>1964655</v>
      </c>
    </row>
    <row r="9" customFormat="false" ht="15" hidden="false" customHeight="false" outlineLevel="0" collapsed="false">
      <c r="A9" s="27" t="s">
        <v>302</v>
      </c>
      <c r="C9" s="28" t="n">
        <f aca="false">Assumptions!$D$21*Assumptions!$D$22*12*Assumptions!$D$23*C$4</f>
        <v>427500</v>
      </c>
      <c r="D9" s="28" t="n">
        <f aca="false">Assumptions!$D$21*Assumptions!$D$22*12*Assumptions!$D$23*D$4</f>
        <v>684000</v>
      </c>
      <c r="E9" s="28" t="n">
        <f aca="false">Assumptions!$D$21*Assumptions!$D$22*12*Assumptions!$D$23*E$4</f>
        <v>812250</v>
      </c>
      <c r="F9" s="28" t="n">
        <f aca="false">Assumptions!$D$21*Assumptions!$D$22*12*Assumptions!$D$23*F$4</f>
        <v>855000</v>
      </c>
      <c r="G9" s="28" t="n">
        <f aca="false">Assumptions!$D$21*Assumptions!$D$22*12*Assumptions!$D$23*G$4</f>
        <v>855000</v>
      </c>
      <c r="H9" s="28" t="n">
        <f aca="false">Assumptions!$D$21*Assumptions!$D$22*12*Assumptions!$D$23*H$4</f>
        <v>897750</v>
      </c>
      <c r="I9" s="28" t="n">
        <f aca="false">Assumptions!$D$21*Assumptions!$D$22*12*Assumptions!$D$23*I$4</f>
        <v>942637.5</v>
      </c>
    </row>
    <row r="10" customFormat="false" ht="15" hidden="false" customHeight="false" outlineLevel="0" collapsed="false">
      <c r="A10" s="27" t="s">
        <v>303</v>
      </c>
      <c r="C10" s="28" t="n">
        <f aca="false">Assumptions!$D$24*Assumptions!$D$25*Assumptions!$D$15*Assumptions!$D$26*C$4</f>
        <v>432000</v>
      </c>
      <c r="D10" s="28" t="n">
        <f aca="false">Assumptions!$D$24*Assumptions!$D$25*Assumptions!$D$15*Assumptions!$D$26*D$4</f>
        <v>691200</v>
      </c>
      <c r="E10" s="28" t="n">
        <f aca="false">Assumptions!$D$24*Assumptions!$D$25*Assumptions!$D$15*Assumptions!$D$26*E$4</f>
        <v>820800</v>
      </c>
      <c r="F10" s="28" t="n">
        <f aca="false">Assumptions!$D$24*Assumptions!$D$25*Assumptions!$D$15*Assumptions!$D$26*F$4</f>
        <v>864000</v>
      </c>
      <c r="G10" s="28" t="n">
        <f aca="false">Assumptions!$D$24*Assumptions!$D$25*Assumptions!$D$15*Assumptions!$D$26*G$4</f>
        <v>864000</v>
      </c>
      <c r="H10" s="28" t="n">
        <f aca="false">Assumptions!$D$24*Assumptions!$D$25*Assumptions!$D$15*Assumptions!$D$26*H$4</f>
        <v>907200</v>
      </c>
      <c r="I10" s="28" t="n">
        <f aca="false">Assumptions!$D$24*Assumptions!$D$25*Assumptions!$D$15*Assumptions!$D$26*I$4</f>
        <v>952560</v>
      </c>
    </row>
    <row r="11" customFormat="false" ht="15" hidden="false" customHeight="false" outlineLevel="0" collapsed="false">
      <c r="A11" s="27" t="s">
        <v>304</v>
      </c>
      <c r="C11" s="28" t="n">
        <f aca="false">(Assumptions!$D$29*Assumptions!$D$30+Assumptions!$D$31*Assumptions!$D$32+Assumptions!$D$33*Assumptions!$D$34+Assumptions!$D$35*Assumptions!$D$36)*12*Assumptions!$D$37*C$4</f>
        <v>472878</v>
      </c>
      <c r="D11" s="28" t="n">
        <f aca="false">(Assumptions!$D$29*Assumptions!$D$30+Assumptions!$D$31*Assumptions!$D$32+Assumptions!$D$33*Assumptions!$D$34+Assumptions!$D$35*Assumptions!$D$36)*12*Assumptions!$D$37*D$4</f>
        <v>756604.8</v>
      </c>
      <c r="E11" s="28" t="n">
        <f aca="false">(Assumptions!$D$29*Assumptions!$D$30+Assumptions!$D$31*Assumptions!$D$32+Assumptions!$D$33*Assumptions!$D$34+Assumptions!$D$35*Assumptions!$D$36)*12*Assumptions!$D$37*E$4</f>
        <v>898468.2</v>
      </c>
      <c r="F11" s="28" t="n">
        <f aca="false">(Assumptions!$D$29*Assumptions!$D$30+Assumptions!$D$31*Assumptions!$D$32+Assumptions!$D$33*Assumptions!$D$34+Assumptions!$D$35*Assumptions!$D$36)*12*Assumptions!$D$37*F$4</f>
        <v>945756</v>
      </c>
      <c r="G11" s="28" t="n">
        <f aca="false">(Assumptions!$D$29*Assumptions!$D$30+Assumptions!$D$31*Assumptions!$D$32+Assumptions!$D$33*Assumptions!$D$34+Assumptions!$D$35*Assumptions!$D$36)*12*Assumptions!$D$37*G$4</f>
        <v>945756</v>
      </c>
      <c r="H11" s="28" t="n">
        <f aca="false">(Assumptions!$D$29*Assumptions!$D$30+Assumptions!$D$31*Assumptions!$D$32+Assumptions!$D$33*Assumptions!$D$34+Assumptions!$D$35*Assumptions!$D$36)*12*Assumptions!$D$37*H$4</f>
        <v>993043.8</v>
      </c>
      <c r="I11" s="28" t="n">
        <f aca="false">(Assumptions!$D$29*Assumptions!$D$30+Assumptions!$D$31*Assumptions!$D$32+Assumptions!$D$33*Assumptions!$D$34+Assumptions!$D$35*Assumptions!$D$36)*12*Assumptions!$D$37*I$4</f>
        <v>1042695.99</v>
      </c>
    </row>
    <row r="12" customFormat="false" ht="15" hidden="false" customHeight="false" outlineLevel="0" collapsed="false">
      <c r="A12" s="27" t="s">
        <v>305</v>
      </c>
      <c r="C12" s="28" t="n">
        <f aca="false">(Assumptions!$D$40*Assumptions!$D$41*Assumptions!$D$42+(Assumptions!$D$44*Assumptions!$D$45+Assumptions!$D$46*Assumptions!$D$47)*Assumptions!$D$48)*Assumptions!$D$15*C$4</f>
        <v>539280</v>
      </c>
      <c r="D12" s="28" t="n">
        <f aca="false">(Assumptions!$D$40*Assumptions!$D$41*Assumptions!$D$42+(Assumptions!$D$44*Assumptions!$D$45+Assumptions!$D$46*Assumptions!$D$47)*Assumptions!$D$48)*Assumptions!$D$15*D$4</f>
        <v>862848</v>
      </c>
      <c r="E12" s="28" t="n">
        <f aca="false">(Assumptions!$D$40*Assumptions!$D$41*Assumptions!$D$42+(Assumptions!$D$44*Assumptions!$D$45+Assumptions!$D$46*Assumptions!$D$47)*Assumptions!$D$48)*Assumptions!$D$15*E$4</f>
        <v>1024632</v>
      </c>
      <c r="F12" s="28" t="n">
        <f aca="false">(Assumptions!$D$40*Assumptions!$D$41*Assumptions!$D$42+(Assumptions!$D$44*Assumptions!$D$45+Assumptions!$D$46*Assumptions!$D$47)*Assumptions!$D$48)*Assumptions!$D$15*F$4</f>
        <v>1078560</v>
      </c>
      <c r="G12" s="28" t="n">
        <f aca="false">(Assumptions!$D$40*Assumptions!$D$41*Assumptions!$D$42+(Assumptions!$D$44*Assumptions!$D$45+Assumptions!$D$46*Assumptions!$D$47)*Assumptions!$D$48)*Assumptions!$D$15*G$4</f>
        <v>1078560</v>
      </c>
      <c r="H12" s="28" t="n">
        <f aca="false">(Assumptions!$D$40*Assumptions!$D$41*Assumptions!$D$42+(Assumptions!$D$44*Assumptions!$D$45+Assumptions!$D$46*Assumptions!$D$47)*Assumptions!$D$48)*Assumptions!$D$15*H$4</f>
        <v>1132488</v>
      </c>
      <c r="I12" s="28" t="n">
        <f aca="false">(Assumptions!$D$40*Assumptions!$D$41*Assumptions!$D$42+(Assumptions!$D$44*Assumptions!$D$45+Assumptions!$D$46*Assumptions!$D$47)*Assumptions!$D$48)*Assumptions!$D$15*I$4</f>
        <v>1189112.4</v>
      </c>
    </row>
    <row r="13" customFormat="false" ht="15" hidden="false" customHeight="false" outlineLevel="0" collapsed="false">
      <c r="A13" s="27" t="s">
        <v>306</v>
      </c>
      <c r="C13" s="28" t="n">
        <f aca="false">(Assumptions!$D$40*Assumptions!$D$41*Assumptions!$D$43+(Assumptions!$D$44+Assumptions!$D$46)*Assumptions!$D$48*Assumptions!$D$49)*Assumptions!$D$50*Assumptions!$D$15*C$4</f>
        <v>1101600</v>
      </c>
      <c r="D13" s="28" t="n">
        <f aca="false">(Assumptions!$D$40*Assumptions!$D$41*Assumptions!$D$43+(Assumptions!$D$44+Assumptions!$D$46)*Assumptions!$D$48*Assumptions!$D$49)*Assumptions!$D$50*Assumptions!$D$15*D$4</f>
        <v>1762560</v>
      </c>
      <c r="E13" s="28" t="n">
        <f aca="false">(Assumptions!$D$40*Assumptions!$D$41*Assumptions!$D$43+(Assumptions!$D$44+Assumptions!$D$46)*Assumptions!$D$48*Assumptions!$D$49)*Assumptions!$D$50*Assumptions!$D$15*E$4</f>
        <v>2093040</v>
      </c>
      <c r="F13" s="28" t="n">
        <f aca="false">(Assumptions!$D$40*Assumptions!$D$41*Assumptions!$D$43+(Assumptions!$D$44+Assumptions!$D$46)*Assumptions!$D$48*Assumptions!$D$49)*Assumptions!$D$50*Assumptions!$D$15*F$4</f>
        <v>2203200</v>
      </c>
      <c r="G13" s="28" t="n">
        <f aca="false">(Assumptions!$D$40*Assumptions!$D$41*Assumptions!$D$43+(Assumptions!$D$44+Assumptions!$D$46)*Assumptions!$D$48*Assumptions!$D$49)*Assumptions!$D$50*Assumptions!$D$15*G$4</f>
        <v>2203200</v>
      </c>
      <c r="H13" s="28" t="n">
        <f aca="false">(Assumptions!$D$40*Assumptions!$D$41*Assumptions!$D$43+(Assumptions!$D$44+Assumptions!$D$46)*Assumptions!$D$48*Assumptions!$D$49)*Assumptions!$D$50*Assumptions!$D$15*H$4</f>
        <v>2313360</v>
      </c>
      <c r="I13" s="28" t="n">
        <f aca="false">(Assumptions!$D$40*Assumptions!$D$41*Assumptions!$D$43+(Assumptions!$D$44+Assumptions!$D$46)*Assumptions!$D$48*Assumptions!$D$49)*Assumptions!$D$50*Assumptions!$D$15*I$4</f>
        <v>2429028</v>
      </c>
    </row>
    <row r="14" customFormat="false" ht="15" hidden="false" customHeight="false" outlineLevel="0" collapsed="false">
      <c r="A14" s="27" t="s">
        <v>307</v>
      </c>
      <c r="C14" s="28" t="n">
        <f aca="false">((Assumptions!$D$14*Assumptions!$D$15*Assumptions!$D$16)*Assumptions!$D$53+Assumptions!$D$21*12*Assumptions!$D$23*Assumptions!$D$54)*Assumptions!$D$55*C$4</f>
        <v>1861200</v>
      </c>
      <c r="D14" s="28" t="n">
        <f aca="false">((Assumptions!$D$14*Assumptions!$D$15*Assumptions!$D$16)*Assumptions!$D$53+Assumptions!$D$21*12*Assumptions!$D$23*Assumptions!$D$54)*Assumptions!$D$55*D$4</f>
        <v>2977920</v>
      </c>
      <c r="E14" s="28" t="n">
        <f aca="false">((Assumptions!$D$14*Assumptions!$D$15*Assumptions!$D$16)*Assumptions!$D$53+Assumptions!$D$21*12*Assumptions!$D$23*Assumptions!$D$54)*Assumptions!$D$55*E$4</f>
        <v>3536280</v>
      </c>
      <c r="F14" s="28" t="n">
        <f aca="false">((Assumptions!$D$14*Assumptions!$D$15*Assumptions!$D$16)*Assumptions!$D$53+Assumptions!$D$21*12*Assumptions!$D$23*Assumptions!$D$54)*Assumptions!$D$55*F$4</f>
        <v>3722400</v>
      </c>
      <c r="G14" s="28" t="n">
        <f aca="false">((Assumptions!$D$14*Assumptions!$D$15*Assumptions!$D$16)*Assumptions!$D$53+Assumptions!$D$21*12*Assumptions!$D$23*Assumptions!$D$54)*Assumptions!$D$55*G$4</f>
        <v>3722400</v>
      </c>
      <c r="H14" s="28" t="n">
        <f aca="false">((Assumptions!$D$14*Assumptions!$D$15*Assumptions!$D$16)*Assumptions!$D$53+Assumptions!$D$21*12*Assumptions!$D$23*Assumptions!$D$54)*Assumptions!$D$55*H$4</f>
        <v>3908520</v>
      </c>
      <c r="I14" s="28" t="n">
        <f aca="false">((Assumptions!$D$14*Assumptions!$D$15*Assumptions!$D$16)*Assumptions!$D$53+Assumptions!$D$21*12*Assumptions!$D$23*Assumptions!$D$54)*Assumptions!$D$55*I$4</f>
        <v>4103946</v>
      </c>
    </row>
    <row r="15" customFormat="false" ht="15" hidden="false" customHeight="false" outlineLevel="0" collapsed="false">
      <c r="A15" s="27" t="s">
        <v>308</v>
      </c>
      <c r="C15" s="28" t="n">
        <f aca="false">Assumptions!$D$56*Assumptions!$D$57*Assumptions!$D$15*Assumptions!$D$58*C$4</f>
        <v>567000</v>
      </c>
      <c r="D15" s="28" t="n">
        <f aca="false">Assumptions!$D$56*Assumptions!$D$57*Assumptions!$D$15*Assumptions!$D$58*D$4</f>
        <v>907200</v>
      </c>
      <c r="E15" s="28" t="n">
        <f aca="false">Assumptions!$D$56*Assumptions!$D$57*Assumptions!$D$15*Assumptions!$D$58*E$4</f>
        <v>1077300</v>
      </c>
      <c r="F15" s="28" t="n">
        <f aca="false">Assumptions!$D$56*Assumptions!$D$57*Assumptions!$D$15*Assumptions!$D$58*F$4</f>
        <v>1134000</v>
      </c>
      <c r="G15" s="28" t="n">
        <f aca="false">Assumptions!$D$56*Assumptions!$D$57*Assumptions!$D$15*Assumptions!$D$58*G$4</f>
        <v>1134000</v>
      </c>
      <c r="H15" s="28" t="n">
        <f aca="false">Assumptions!$D$56*Assumptions!$D$57*Assumptions!$D$15*Assumptions!$D$58*H$4</f>
        <v>1190700</v>
      </c>
      <c r="I15" s="28" t="n">
        <f aca="false">Assumptions!$D$56*Assumptions!$D$57*Assumptions!$D$15*Assumptions!$D$58*I$4</f>
        <v>1250235</v>
      </c>
    </row>
    <row r="16" customFormat="false" ht="15" hidden="false" customHeight="false" outlineLevel="0" collapsed="false">
      <c r="A16" s="27" t="s">
        <v>309</v>
      </c>
      <c r="C16" s="28" t="n">
        <f aca="false">Assumptions!$D$59*Assumptions!$D$60*Assumptions!$D$61*C$4</f>
        <v>225225</v>
      </c>
      <c r="D16" s="28" t="n">
        <f aca="false">Assumptions!$D$59*Assumptions!$D$60*Assumptions!$D$61*D$4</f>
        <v>360360</v>
      </c>
      <c r="E16" s="28" t="n">
        <f aca="false">Assumptions!$D$59*Assumptions!$D$60*Assumptions!$D$61*E$4</f>
        <v>427927.5</v>
      </c>
      <c r="F16" s="28" t="n">
        <f aca="false">Assumptions!$D$59*Assumptions!$D$60*Assumptions!$D$61*F$4</f>
        <v>450450</v>
      </c>
      <c r="G16" s="28" t="n">
        <f aca="false">Assumptions!$D$59*Assumptions!$D$60*Assumptions!$D$61*G$4</f>
        <v>450450</v>
      </c>
      <c r="H16" s="28" t="n">
        <f aca="false">Assumptions!$D$59*Assumptions!$D$60*Assumptions!$D$61*H$4</f>
        <v>472972.5</v>
      </c>
      <c r="I16" s="28" t="n">
        <f aca="false">Assumptions!$D$59*Assumptions!$D$60*Assumptions!$D$61*I$4</f>
        <v>496621.125</v>
      </c>
    </row>
    <row r="17" customFormat="false" ht="15" hidden="false" customHeight="false" outlineLevel="0" collapsed="false">
      <c r="A17" s="27" t="s">
        <v>310</v>
      </c>
      <c r="C17" s="28" t="n">
        <f aca="false">Assumptions!$D$64*Assumptions!$D$65*12*Assumptions!$D$66*C$4</f>
        <v>514080</v>
      </c>
      <c r="D17" s="28" t="n">
        <f aca="false">Assumptions!$D$64*Assumptions!$D$65*12*Assumptions!$D$66*D$4</f>
        <v>822528</v>
      </c>
      <c r="E17" s="28" t="n">
        <f aca="false">Assumptions!$D$64*Assumptions!$D$65*12*Assumptions!$D$66*E$4</f>
        <v>976752</v>
      </c>
      <c r="F17" s="28" t="n">
        <f aca="false">Assumptions!$D$64*Assumptions!$D$65*12*Assumptions!$D$66*F$4</f>
        <v>1028160</v>
      </c>
      <c r="G17" s="28" t="n">
        <f aca="false">Assumptions!$D$64*Assumptions!$D$65*12*Assumptions!$D$66*G$4</f>
        <v>1028160</v>
      </c>
      <c r="H17" s="28" t="n">
        <f aca="false">Assumptions!$D$64*Assumptions!$D$65*12*Assumptions!$D$66*H$4</f>
        <v>1079568</v>
      </c>
      <c r="I17" s="28" t="n">
        <f aca="false">Assumptions!$D$64*Assumptions!$D$65*12*Assumptions!$D$66*I$4</f>
        <v>1133546.4</v>
      </c>
    </row>
    <row r="18" customFormat="false" ht="15" hidden="false" customHeight="false" outlineLevel="0" collapsed="false">
      <c r="A18" s="27" t="s">
        <v>311</v>
      </c>
      <c r="C18" s="28" t="n">
        <f aca="false">Assumptions!$D$5*Assumptions!$D$69*C$4</f>
        <v>550000</v>
      </c>
      <c r="D18" s="28" t="n">
        <f aca="false">Assumptions!$D$5*Assumptions!$D$69*D$4</f>
        <v>880000</v>
      </c>
      <c r="E18" s="28" t="n">
        <f aca="false">Assumptions!$D$5*Assumptions!$D$69*E$4</f>
        <v>1045000</v>
      </c>
      <c r="F18" s="28" t="n">
        <f aca="false">Assumptions!$D$5*Assumptions!$D$69*F$4</f>
        <v>1100000</v>
      </c>
      <c r="G18" s="28" t="n">
        <f aca="false">Assumptions!$D$5*Assumptions!$D$69*G$4</f>
        <v>1100000</v>
      </c>
      <c r="H18" s="28" t="n">
        <f aca="false">Assumptions!$D$5*Assumptions!$D$69*H$4</f>
        <v>1155000</v>
      </c>
      <c r="I18" s="28" t="n">
        <f aca="false">Assumptions!$D$5*Assumptions!$D$69*I$4</f>
        <v>1212750</v>
      </c>
    </row>
    <row r="19" customFormat="false" ht="15" hidden="false" customHeight="false" outlineLevel="0" collapsed="false">
      <c r="A19" s="27" t="s">
        <v>312</v>
      </c>
      <c r="C19" s="28" t="n">
        <f aca="false">Assumptions!$D$72*Assumptions!$D$73*Assumptions!$D$74*12*Assumptions!$D$75*C$4</f>
        <v>2160000</v>
      </c>
      <c r="D19" s="28" t="n">
        <f aca="false">Assumptions!$D$72*Assumptions!$D$73*Assumptions!$D$74*12*Assumptions!$D$75*D$4</f>
        <v>3456000</v>
      </c>
      <c r="E19" s="28" t="n">
        <f aca="false">Assumptions!$D$72*Assumptions!$D$73*Assumptions!$D$74*12*Assumptions!$D$75*E$4</f>
        <v>4104000</v>
      </c>
      <c r="F19" s="28" t="n">
        <f aca="false">Assumptions!$D$72*Assumptions!$D$73*Assumptions!$D$74*12*Assumptions!$D$75*F$4</f>
        <v>4320000</v>
      </c>
      <c r="G19" s="28" t="n">
        <f aca="false">Assumptions!$D$72*Assumptions!$D$73*Assumptions!$D$74*12*Assumptions!$D$75*G$4</f>
        <v>4320000</v>
      </c>
      <c r="H19" s="28" t="n">
        <f aca="false">Assumptions!$D$72*Assumptions!$D$73*Assumptions!$D$74*12*Assumptions!$D$75*H$4</f>
        <v>4536000</v>
      </c>
      <c r="I19" s="28" t="n">
        <f aca="false">Assumptions!$D$72*Assumptions!$D$73*Assumptions!$D$74*12*Assumptions!$D$75*I$4</f>
        <v>4762800</v>
      </c>
    </row>
    <row r="20" customFormat="false" ht="15" hidden="false" customHeight="false" outlineLevel="0" collapsed="false">
      <c r="A20" s="27" t="s">
        <v>313</v>
      </c>
      <c r="C20" s="28" t="n">
        <f aca="false">Assumptions!$D$7*Assumptions!$D$78*C$4</f>
        <v>533328</v>
      </c>
      <c r="D20" s="28" t="n">
        <f aca="false">Assumptions!$D$7*Assumptions!$D$78*D$4</f>
        <v>853324.8</v>
      </c>
      <c r="E20" s="28" t="n">
        <f aca="false">Assumptions!$D$7*Assumptions!$D$78*E$4</f>
        <v>1013323.2</v>
      </c>
      <c r="F20" s="28" t="n">
        <f aca="false">Assumptions!$D$7*Assumptions!$D$78*F$4</f>
        <v>1066656</v>
      </c>
      <c r="G20" s="28" t="n">
        <f aca="false">Assumptions!$D$7*Assumptions!$D$78*G$4</f>
        <v>1066656</v>
      </c>
      <c r="H20" s="28" t="n">
        <f aca="false">Assumptions!$D$7*Assumptions!$D$78*H$4</f>
        <v>1119988.8</v>
      </c>
      <c r="I20" s="28" t="n">
        <f aca="false">Assumptions!$D$7*Assumptions!$D$78*I$4</f>
        <v>1175988.24</v>
      </c>
    </row>
    <row r="21" customFormat="false" ht="15" hidden="false" customHeight="false" outlineLevel="0" collapsed="false">
      <c r="A21" s="9" t="s">
        <v>93</v>
      </c>
      <c r="C21" s="26" t="n">
        <f aca="false">SUM(C7:C20)</f>
        <v>13556941</v>
      </c>
      <c r="D21" s="26" t="n">
        <f aca="false">SUM(D7:D20)</f>
        <v>21691105.6</v>
      </c>
      <c r="E21" s="26" t="n">
        <f aca="false">SUM(E7:E20)</f>
        <v>25758187.9</v>
      </c>
      <c r="F21" s="26" t="n">
        <f aca="false">SUM(F7:F20)</f>
        <v>27113882</v>
      </c>
      <c r="G21" s="26" t="n">
        <f aca="false">SUM(G7:G20)</f>
        <v>27113882</v>
      </c>
      <c r="H21" s="26" t="n">
        <f aca="false">SUM(H7:H20)</f>
        <v>28469576.1</v>
      </c>
      <c r="I21" s="26" t="n">
        <f aca="false">SUM(I7:I20)</f>
        <v>29893054.905</v>
      </c>
    </row>
    <row r="22" customFormat="false" ht="15" hidden="false" customHeight="false" outlineLevel="0" collapsed="false">
      <c r="A22" s="27" t="s">
        <v>314</v>
      </c>
      <c r="C22" s="39" t="n">
        <f aca="false">C21/Assumptions!$D$5</f>
        <v>135.56941</v>
      </c>
      <c r="D22" s="39" t="n">
        <f aca="false">D21/Assumptions!$D$5</f>
        <v>216.911056</v>
      </c>
      <c r="E22" s="39" t="n">
        <f aca="false">E21/Assumptions!$D$5</f>
        <v>257.581879</v>
      </c>
      <c r="F22" s="39" t="n">
        <f aca="false">F21/Assumptions!$D$5</f>
        <v>271.13882</v>
      </c>
      <c r="G22" s="39" t="n">
        <f aca="false">G21/Assumptions!$D$5</f>
        <v>271.13882</v>
      </c>
      <c r="H22" s="39" t="n">
        <f aca="false">H21/Assumptions!$D$5</f>
        <v>284.695761</v>
      </c>
      <c r="I22" s="39" t="n">
        <f aca="false">I21/Assumptions!$D$5</f>
        <v>298.93054905</v>
      </c>
    </row>
    <row r="23" customFormat="false" ht="15" hidden="false" customHeight="false" outlineLevel="0" collapsed="false">
      <c r="A23" s="27" t="s">
        <v>315</v>
      </c>
      <c r="C23" s="39" t="n">
        <f aca="false">SUM(C7:C10)/Assumptions!$D$8</f>
        <v>173.529310344828</v>
      </c>
      <c r="D23" s="39" t="n">
        <f aca="false">SUM(D7:D10)/Assumptions!$D$8</f>
        <v>277.646896551724</v>
      </c>
      <c r="E23" s="39" t="n">
        <f aca="false">SUM(E7:E10)/Assumptions!$D$8</f>
        <v>329.705689655172</v>
      </c>
      <c r="F23" s="39" t="n">
        <f aca="false">SUM(F7:F10)/Assumptions!$D$8</f>
        <v>347.058620689655</v>
      </c>
      <c r="G23" s="39" t="n">
        <f aca="false">SUM(G7:G10)/Assumptions!$D$8</f>
        <v>347.058620689655</v>
      </c>
      <c r="H23" s="39" t="n">
        <f aca="false">SUM(H7:H10)/Assumptions!$D$8</f>
        <v>364.411551724138</v>
      </c>
      <c r="I23" s="39" t="n">
        <f aca="false">SUM(I7:I10)/Assumptions!$D$8</f>
        <v>382.632129310345</v>
      </c>
    </row>
    <row r="24" customFormat="false" ht="15" hidden="false" customHeight="false" outlineLevel="0" collapsed="false">
      <c r="A24" s="27" t="s">
        <v>316</v>
      </c>
      <c r="C24" s="39" t="n">
        <f aca="false">C11/Assumptions!$D$9</f>
        <v>37.7246110889509</v>
      </c>
      <c r="D24" s="39" t="n">
        <f aca="false">D11/Assumptions!$D$9</f>
        <v>60.3593777423215</v>
      </c>
      <c r="E24" s="39" t="n">
        <f aca="false">E11/Assumptions!$D$9</f>
        <v>71.6767610690068</v>
      </c>
      <c r="F24" s="39" t="n">
        <f aca="false">F11/Assumptions!$D$9</f>
        <v>75.4492221779019</v>
      </c>
      <c r="G24" s="39" t="n">
        <f aca="false">G11/Assumptions!$D$9</f>
        <v>75.4492221779019</v>
      </c>
      <c r="H24" s="39" t="n">
        <f aca="false">H11/Assumptions!$D$9</f>
        <v>79.221683286797</v>
      </c>
      <c r="I24" s="39" t="n">
        <f aca="false">I11/Assumptions!$D$9</f>
        <v>83.1827674511368</v>
      </c>
    </row>
    <row r="25" customFormat="false" ht="15" hidden="false" customHeight="false" outlineLevel="0" collapsed="false">
      <c r="A25" s="27" t="s">
        <v>317</v>
      </c>
      <c r="C25" s="39" t="n">
        <f aca="false">(C12+C13)/Assumptions!$D$10</f>
        <v>364.64</v>
      </c>
      <c r="D25" s="39" t="n">
        <f aca="false">(D12+D13)/Assumptions!$D$10</f>
        <v>583.424</v>
      </c>
      <c r="E25" s="39" t="n">
        <f aca="false">(E12+E13)/Assumptions!$D$10</f>
        <v>692.816</v>
      </c>
      <c r="F25" s="39" t="n">
        <f aca="false">(F12+F13)/Assumptions!$D$10</f>
        <v>729.28</v>
      </c>
      <c r="G25" s="39" t="n">
        <f aca="false">(G12+G13)/Assumptions!$D$10</f>
        <v>729.28</v>
      </c>
      <c r="H25" s="39" t="n">
        <f aca="false">(H12+H13)/Assumptions!$D$10</f>
        <v>765.744</v>
      </c>
      <c r="I25" s="39" t="n">
        <f aca="false">(I12+I13)/Assumptions!$D$10</f>
        <v>804.0312</v>
      </c>
    </row>
    <row r="26" customFormat="false" ht="15" hidden="false" customHeight="false" outlineLevel="0" collapsed="false">
      <c r="A26" s="27" t="s">
        <v>318</v>
      </c>
      <c r="C26" s="39" t="n">
        <f aca="false">(C14+C15+C16)/Assumptions!$D$11</f>
        <v>500.457374575632</v>
      </c>
      <c r="D26" s="39" t="n">
        <f aca="false">(D14+D15+D16)/Assumptions!$D$11</f>
        <v>800.731799321011</v>
      </c>
      <c r="E26" s="39" t="n">
        <f aca="false">(E14+E15+E16)/Assumptions!$D$11</f>
        <v>950.869011693701</v>
      </c>
      <c r="F26" s="39" t="n">
        <f aca="false">(F14+F15+F16)/Assumptions!$D$11</f>
        <v>1000.91474915126</v>
      </c>
      <c r="G26" s="39" t="n">
        <f aca="false">(G14+G15+G16)/Assumptions!$D$11</f>
        <v>1000.91474915126</v>
      </c>
      <c r="H26" s="39" t="n">
        <f aca="false">(H14+H15+H16)/Assumptions!$D$11</f>
        <v>1050.96048660883</v>
      </c>
      <c r="I26" s="39" t="n">
        <f aca="false">(I14+I15+I16)/Assumptions!$D$11</f>
        <v>1103.50851093927</v>
      </c>
    </row>
    <row r="27" customFormat="false" ht="15" hidden="false" customHeight="false" outlineLevel="0" collapsed="false">
      <c r="A27" s="27" t="s">
        <v>319</v>
      </c>
      <c r="C27" s="39" t="n">
        <f aca="false">C17/Assumptions!$D$12</f>
        <v>114.189249222568</v>
      </c>
      <c r="D27" s="39" t="n">
        <f aca="false">D17/Assumptions!$D$12</f>
        <v>182.702798756108</v>
      </c>
      <c r="E27" s="39" t="n">
        <f aca="false">E17/Assumptions!$D$12</f>
        <v>216.959573522879</v>
      </c>
      <c r="F27" s="39" t="n">
        <f aca="false">F17/Assumptions!$D$12</f>
        <v>228.378498445136</v>
      </c>
      <c r="G27" s="39" t="n">
        <f aca="false">G17/Assumptions!$D$12</f>
        <v>228.378498445136</v>
      </c>
      <c r="H27" s="39" t="n">
        <f aca="false">H17/Assumptions!$D$12</f>
        <v>239.797423367392</v>
      </c>
      <c r="I27" s="39" t="n">
        <f aca="false">I17/Assumptions!$D$12</f>
        <v>251.787294535762</v>
      </c>
    </row>
    <row r="28" customFormat="false" ht="15" hidden="false" customHeight="false" outlineLevel="0" collapsed="false">
      <c r="A28" s="27" t="s">
        <v>320</v>
      </c>
      <c r="C28" s="39" t="n">
        <f aca="false">C20/Assumptions!$D$7</f>
        <v>16</v>
      </c>
      <c r="D28" s="39" t="n">
        <f aca="false">D20/Assumptions!$D$7</f>
        <v>25.6</v>
      </c>
      <c r="E28" s="39" t="n">
        <f aca="false">E20/Assumptions!$D$7</f>
        <v>30.4</v>
      </c>
      <c r="F28" s="39" t="n">
        <f aca="false">F20/Assumptions!$D$7</f>
        <v>32</v>
      </c>
      <c r="G28" s="39" t="n">
        <f aca="false">G20/Assumptions!$D$7</f>
        <v>32</v>
      </c>
      <c r="H28" s="39" t="n">
        <f aca="false">H20/Assumptions!$D$7</f>
        <v>33.6</v>
      </c>
      <c r="I28" s="39" t="n">
        <f aca="false">I20/Assumptions!$D$7</f>
        <v>35.28</v>
      </c>
    </row>
    <row r="30" customFormat="false" ht="15" hidden="false" customHeight="false" outlineLevel="0" collapsed="false">
      <c r="A30" s="31" t="s">
        <v>321</v>
      </c>
      <c r="B30" s="32"/>
      <c r="C30" s="32"/>
      <c r="D30" s="32"/>
      <c r="E30" s="32"/>
      <c r="F30" s="32"/>
      <c r="G30" s="32"/>
      <c r="H30" s="32"/>
      <c r="I30" s="32"/>
    </row>
    <row r="31" customFormat="false" ht="15" hidden="false" customHeight="false" outlineLevel="0" collapsed="false">
      <c r="A31" s="27" t="s">
        <v>322</v>
      </c>
      <c r="C31" s="28" t="n">
        <f aca="false">-(C7+C8)*Assumptions!$D$20</f>
        <v>-1460497.5</v>
      </c>
      <c r="D31" s="28" t="n">
        <f aca="false">-(D7+D8)*Assumptions!$D$20</f>
        <v>-2336796</v>
      </c>
      <c r="E31" s="28" t="n">
        <f aca="false">-(E7+E8)*Assumptions!$D$20</f>
        <v>-2774945.25</v>
      </c>
      <c r="F31" s="28" t="n">
        <f aca="false">-(F7+F8)*Assumptions!$D$20</f>
        <v>-2920995</v>
      </c>
      <c r="G31" s="28" t="n">
        <f aca="false">-(G7+G8)*Assumptions!$D$20</f>
        <v>-2920995</v>
      </c>
      <c r="H31" s="28" t="n">
        <f aca="false">-(H7+H8)*Assumptions!$D$20</f>
        <v>-3067044.75</v>
      </c>
      <c r="I31" s="28" t="n">
        <f aca="false">-(I7+I8)*Assumptions!$D$20</f>
        <v>-3220396.9875</v>
      </c>
    </row>
    <row r="32" customFormat="false" ht="15" hidden="false" customHeight="false" outlineLevel="0" collapsed="false">
      <c r="A32" s="27" t="s">
        <v>323</v>
      </c>
      <c r="C32" s="28" t="n">
        <f aca="false">-(C9+C10)*Assumptions!$D$27</f>
        <v>-240660</v>
      </c>
      <c r="D32" s="28" t="n">
        <f aca="false">-(D9+D10)*Assumptions!$D$27</f>
        <v>-385056</v>
      </c>
      <c r="E32" s="28" t="n">
        <f aca="false">-(E9+E10)*Assumptions!$D$27</f>
        <v>-457254</v>
      </c>
      <c r="F32" s="28" t="n">
        <f aca="false">-(F9+F10)*Assumptions!$D$27</f>
        <v>-481320</v>
      </c>
      <c r="G32" s="28" t="n">
        <f aca="false">-(G9+G10)*Assumptions!$D$27</f>
        <v>-481320</v>
      </c>
      <c r="H32" s="28" t="n">
        <f aca="false">-(H9+H10)*Assumptions!$D$27</f>
        <v>-505386</v>
      </c>
      <c r="I32" s="28" t="n">
        <f aca="false">-(I9+I10)*Assumptions!$D$27</f>
        <v>-530655.3</v>
      </c>
    </row>
    <row r="33" customFormat="false" ht="15" hidden="false" customHeight="false" outlineLevel="0" collapsed="false">
      <c r="A33" s="27" t="s">
        <v>324</v>
      </c>
      <c r="C33" s="28" t="n">
        <f aca="false">-C11*Assumptions!$D$38</f>
        <v>-260082.9</v>
      </c>
      <c r="D33" s="28" t="n">
        <f aca="false">-D11*Assumptions!$D$38</f>
        <v>-416132.64</v>
      </c>
      <c r="E33" s="28" t="n">
        <f aca="false">-E11*Assumptions!$D$38</f>
        <v>-494157.51</v>
      </c>
      <c r="F33" s="28" t="n">
        <f aca="false">-F11*Assumptions!$D$38</f>
        <v>-520165.8</v>
      </c>
      <c r="G33" s="28" t="n">
        <f aca="false">-G11*Assumptions!$D$38</f>
        <v>-520165.8</v>
      </c>
      <c r="H33" s="28" t="n">
        <f aca="false">-H11*Assumptions!$D$38</f>
        <v>-546174.09</v>
      </c>
      <c r="I33" s="28" t="n">
        <f aca="false">-I11*Assumptions!$D$38</f>
        <v>-573482.7945</v>
      </c>
    </row>
    <row r="34" customFormat="false" ht="15" hidden="false" customHeight="false" outlineLevel="0" collapsed="false">
      <c r="A34" s="27" t="s">
        <v>325</v>
      </c>
      <c r="C34" s="28" t="n">
        <f aca="false">-(C12+C13)*Assumptions!$D$51</f>
        <v>-820440</v>
      </c>
      <c r="D34" s="28" t="n">
        <f aca="false">-(D12+D13)*Assumptions!$D$51</f>
        <v>-1312704</v>
      </c>
      <c r="E34" s="28" t="n">
        <f aca="false">-(E12+E13)*Assumptions!$D$51</f>
        <v>-1558836</v>
      </c>
      <c r="F34" s="28" t="n">
        <f aca="false">-(F12+F13)*Assumptions!$D$51</f>
        <v>-1640880</v>
      </c>
      <c r="G34" s="28" t="n">
        <f aca="false">-(G12+G13)*Assumptions!$D$51</f>
        <v>-1640880</v>
      </c>
      <c r="H34" s="28" t="n">
        <f aca="false">-(H12+H13)*Assumptions!$D$51</f>
        <v>-1722924</v>
      </c>
      <c r="I34" s="28" t="n">
        <f aca="false">-(I12+I13)*Assumptions!$D$51</f>
        <v>-1809070.2</v>
      </c>
    </row>
    <row r="35" customFormat="false" ht="15" hidden="false" customHeight="false" outlineLevel="0" collapsed="false">
      <c r="A35" s="27" t="s">
        <v>326</v>
      </c>
      <c r="C35" s="28" t="n">
        <f aca="false">-(C14+C15+C16)*Assumptions!$D$62</f>
        <v>-398013.75</v>
      </c>
      <c r="D35" s="28" t="n">
        <f aca="false">-(D14+D15+D16)*Assumptions!$D$62</f>
        <v>-636822</v>
      </c>
      <c r="E35" s="28" t="n">
        <f aca="false">-(E14+E15+E16)*Assumptions!$D$62</f>
        <v>-756226.125</v>
      </c>
      <c r="F35" s="28" t="n">
        <f aca="false">-(F14+F15+F16)*Assumptions!$D$62</f>
        <v>-796027.5</v>
      </c>
      <c r="G35" s="28" t="n">
        <f aca="false">-(G14+G15+G16)*Assumptions!$D$62</f>
        <v>-796027.5</v>
      </c>
      <c r="H35" s="28" t="n">
        <f aca="false">-(H14+H15+H16)*Assumptions!$D$62</f>
        <v>-835828.875</v>
      </c>
      <c r="I35" s="28" t="n">
        <f aca="false">-(I14+I15+I16)*Assumptions!$D$62</f>
        <v>-877620.31875</v>
      </c>
    </row>
    <row r="36" customFormat="false" ht="15" hidden="false" customHeight="false" outlineLevel="0" collapsed="false">
      <c r="A36" s="27" t="s">
        <v>327</v>
      </c>
      <c r="C36" s="28" t="n">
        <f aca="false">-C17*Assumptions!$D$67</f>
        <v>-128520</v>
      </c>
      <c r="D36" s="28" t="n">
        <f aca="false">-D17*Assumptions!$D$67</f>
        <v>-205632</v>
      </c>
      <c r="E36" s="28" t="n">
        <f aca="false">-E17*Assumptions!$D$67</f>
        <v>-244188</v>
      </c>
      <c r="F36" s="28" t="n">
        <f aca="false">-F17*Assumptions!$D$67</f>
        <v>-257040</v>
      </c>
      <c r="G36" s="28" t="n">
        <f aca="false">-G17*Assumptions!$D$67</f>
        <v>-257040</v>
      </c>
      <c r="H36" s="28" t="n">
        <f aca="false">-H17*Assumptions!$D$67</f>
        <v>-269892</v>
      </c>
      <c r="I36" s="28" t="n">
        <f aca="false">-I17*Assumptions!$D$67</f>
        <v>-283386.6</v>
      </c>
    </row>
    <row r="37" customFormat="false" ht="15" hidden="false" customHeight="false" outlineLevel="0" collapsed="false">
      <c r="A37" s="27" t="s">
        <v>30</v>
      </c>
      <c r="C37" s="28" t="n">
        <f aca="false">-C18*Assumptions!$D$70</f>
        <v>-176000</v>
      </c>
      <c r="D37" s="28" t="n">
        <f aca="false">-D18*Assumptions!$D$70</f>
        <v>-281600</v>
      </c>
      <c r="E37" s="28" t="n">
        <f aca="false">-E18*Assumptions!$D$70</f>
        <v>-334400</v>
      </c>
      <c r="F37" s="28" t="n">
        <f aca="false">-F18*Assumptions!$D$70</f>
        <v>-352000</v>
      </c>
      <c r="G37" s="28" t="n">
        <f aca="false">-G18*Assumptions!$D$70</f>
        <v>-352000</v>
      </c>
      <c r="H37" s="28" t="n">
        <f aca="false">-H18*Assumptions!$D$70</f>
        <v>-369600</v>
      </c>
      <c r="I37" s="28" t="n">
        <f aca="false">-I18*Assumptions!$D$70</f>
        <v>-388080</v>
      </c>
    </row>
    <row r="38" customFormat="false" ht="15" hidden="false" customHeight="false" outlineLevel="0" collapsed="false">
      <c r="A38" s="27" t="s">
        <v>31</v>
      </c>
      <c r="C38" s="28" t="n">
        <f aca="false">-C19*Assumptions!$D$76</f>
        <v>-712800</v>
      </c>
      <c r="D38" s="28" t="n">
        <f aca="false">-D19*Assumptions!$D$76</f>
        <v>-1140480</v>
      </c>
      <c r="E38" s="28" t="n">
        <f aca="false">-E19*Assumptions!$D$76</f>
        <v>-1354320</v>
      </c>
      <c r="F38" s="28" t="n">
        <f aca="false">-F19*Assumptions!$D$76</f>
        <v>-1425600</v>
      </c>
      <c r="G38" s="28" t="n">
        <f aca="false">-G19*Assumptions!$D$76</f>
        <v>-1425600</v>
      </c>
      <c r="H38" s="28" t="n">
        <f aca="false">-H19*Assumptions!$D$76</f>
        <v>-1496880</v>
      </c>
      <c r="I38" s="28" t="n">
        <f aca="false">-I19*Assumptions!$D$76</f>
        <v>-1571724</v>
      </c>
    </row>
    <row r="39" customFormat="false" ht="15" hidden="false" customHeight="false" outlineLevel="0" collapsed="false">
      <c r="A39" s="27" t="s">
        <v>32</v>
      </c>
      <c r="C39" s="28" t="n">
        <f aca="false">-C20*Assumptions!$D$79</f>
        <v>-53332.8</v>
      </c>
      <c r="D39" s="28" t="n">
        <f aca="false">-D20*Assumptions!$D$79</f>
        <v>-85332.48</v>
      </c>
      <c r="E39" s="28" t="n">
        <f aca="false">-E20*Assumptions!$D$79</f>
        <v>-101332.32</v>
      </c>
      <c r="F39" s="28" t="n">
        <f aca="false">-F20*Assumptions!$D$79</f>
        <v>-106665.6</v>
      </c>
      <c r="G39" s="28" t="n">
        <f aca="false">-G20*Assumptions!$D$79</f>
        <v>-106665.6</v>
      </c>
      <c r="H39" s="28" t="n">
        <f aca="false">-H20*Assumptions!$D$79</f>
        <v>-111998.88</v>
      </c>
      <c r="I39" s="28" t="n">
        <f aca="false">-I20*Assumptions!$D$79</f>
        <v>-117598.824</v>
      </c>
    </row>
    <row r="40" customFormat="false" ht="15" hidden="false" customHeight="false" outlineLevel="0" collapsed="false">
      <c r="A40" s="9" t="s">
        <v>328</v>
      </c>
      <c r="C40" s="26" t="n">
        <f aca="false">SUM(C31:C39)</f>
        <v>-4250346.95</v>
      </c>
      <c r="D40" s="26" t="n">
        <f aca="false">SUM(D31:D39)</f>
        <v>-6800555.12</v>
      </c>
      <c r="E40" s="26" t="n">
        <f aca="false">SUM(E31:E39)</f>
        <v>-8075659.205</v>
      </c>
      <c r="F40" s="26" t="n">
        <f aca="false">SUM(F31:F39)</f>
        <v>-8500693.9</v>
      </c>
      <c r="G40" s="26" t="n">
        <f aca="false">SUM(G31:G39)</f>
        <v>-8500693.9</v>
      </c>
      <c r="H40" s="26" t="n">
        <f aca="false">SUM(H31:H39)</f>
        <v>-8925728.595</v>
      </c>
      <c r="I40" s="26" t="n">
        <f aca="false">SUM(I31:I39)</f>
        <v>-9372015.02475</v>
      </c>
    </row>
    <row r="41" customFormat="false" ht="15" hidden="false" customHeight="false" outlineLevel="0" collapsed="false">
      <c r="A41" s="9" t="s">
        <v>329</v>
      </c>
      <c r="C41" s="26" t="n">
        <f aca="false">C21+C40</f>
        <v>9306594.05</v>
      </c>
      <c r="D41" s="26" t="n">
        <f aca="false">D21+D40</f>
        <v>14890550.48</v>
      </c>
      <c r="E41" s="26" t="n">
        <f aca="false">E21+E40</f>
        <v>17682528.695</v>
      </c>
      <c r="F41" s="26" t="n">
        <f aca="false">F21+F40</f>
        <v>18613188.1</v>
      </c>
      <c r="G41" s="26" t="n">
        <f aca="false">G21+G40</f>
        <v>18613188.1</v>
      </c>
      <c r="H41" s="26" t="n">
        <f aca="false">H21+H40</f>
        <v>19543847.505</v>
      </c>
      <c r="I41" s="26" t="n">
        <f aca="false">I21+I40</f>
        <v>20521039.88025</v>
      </c>
    </row>
    <row r="43" customFormat="false" ht="15" hidden="false" customHeight="false" outlineLevel="0" collapsed="false">
      <c r="A43" s="31" t="s">
        <v>250</v>
      </c>
      <c r="B43" s="32"/>
      <c r="C43" s="32"/>
      <c r="D43" s="32"/>
      <c r="E43" s="32"/>
      <c r="F43" s="32"/>
      <c r="G43" s="32"/>
      <c r="H43" s="32"/>
      <c r="I43" s="32"/>
    </row>
    <row r="44" customFormat="false" ht="15" hidden="false" customHeight="false" outlineLevel="0" collapsed="false">
      <c r="A44" s="27" t="s">
        <v>330</v>
      </c>
      <c r="C44" s="28" t="n">
        <f aca="false">-Assumptions!$D$5*Assumptions!$D$81*12</f>
        <v>-660000</v>
      </c>
      <c r="D44" s="28" t="n">
        <f aca="false">-Assumptions!$D$5*Assumptions!$D$81*12</f>
        <v>-660000</v>
      </c>
      <c r="E44" s="28" t="n">
        <f aca="false">-Assumptions!$D$5*Assumptions!$D$81*12</f>
        <v>-660000</v>
      </c>
      <c r="F44" s="28" t="n">
        <f aca="false">-Assumptions!$D$5*Assumptions!$D$81*12</f>
        <v>-660000</v>
      </c>
      <c r="G44" s="28" t="n">
        <f aca="false">-Assumptions!$D$5*Assumptions!$D$81*12</f>
        <v>-660000</v>
      </c>
      <c r="H44" s="28" t="n">
        <f aca="false">-Assumptions!$D$5*Assumptions!$D$81*12</f>
        <v>-660000</v>
      </c>
      <c r="I44" s="28" t="n">
        <f aca="false">-Assumptions!$D$5*Assumptions!$D$81*12</f>
        <v>-660000</v>
      </c>
    </row>
    <row r="45" customFormat="false" ht="15" hidden="false" customHeight="false" outlineLevel="0" collapsed="false">
      <c r="A45" s="27" t="s">
        <v>331</v>
      </c>
      <c r="C45" s="28" t="n">
        <f aca="false">-Assumptions!$D$82</f>
        <v>-1100000</v>
      </c>
      <c r="D45" s="28" t="n">
        <f aca="false">-Assumptions!$D$82</f>
        <v>-1100000</v>
      </c>
      <c r="E45" s="28" t="n">
        <f aca="false">-Assumptions!$D$82</f>
        <v>-1100000</v>
      </c>
      <c r="F45" s="28" t="n">
        <f aca="false">-Assumptions!$D$82</f>
        <v>-1100000</v>
      </c>
      <c r="G45" s="28" t="n">
        <f aca="false">-Assumptions!$D$82</f>
        <v>-1100000</v>
      </c>
      <c r="H45" s="28" t="n">
        <f aca="false">-Assumptions!$D$82</f>
        <v>-1100000</v>
      </c>
      <c r="I45" s="28" t="n">
        <f aca="false">-Assumptions!$D$82</f>
        <v>-1100000</v>
      </c>
    </row>
    <row r="46" customFormat="false" ht="15" hidden="false" customHeight="false" outlineLevel="0" collapsed="false">
      <c r="A46" s="27" t="s">
        <v>332</v>
      </c>
      <c r="C46" s="28" t="n">
        <f aca="false">-C21*Assumptions!$D$83</f>
        <v>-677847.05</v>
      </c>
      <c r="D46" s="28" t="n">
        <f aca="false">-D21*Assumptions!$D$83</f>
        <v>-1084555.28</v>
      </c>
      <c r="E46" s="28" t="n">
        <f aca="false">-E21*Assumptions!$D$83</f>
        <v>-1287909.395</v>
      </c>
      <c r="F46" s="28" t="n">
        <f aca="false">-F21*Assumptions!$D$83</f>
        <v>-1355694.1</v>
      </c>
      <c r="G46" s="28" t="n">
        <f aca="false">-G21*Assumptions!$D$83</f>
        <v>-1355694.1</v>
      </c>
      <c r="H46" s="28" t="n">
        <f aca="false">-H21*Assumptions!$D$83</f>
        <v>-1423478.805</v>
      </c>
      <c r="I46" s="28" t="n">
        <f aca="false">-I21*Assumptions!$D$83</f>
        <v>-1494652.74525</v>
      </c>
    </row>
    <row r="47" customFormat="false" ht="15" hidden="false" customHeight="false" outlineLevel="0" collapsed="false">
      <c r="A47" s="27" t="s">
        <v>333</v>
      </c>
      <c r="C47" s="28" t="n">
        <f aca="false">-MIN(Assumptions!$D$86,Assumptions!$D$84*IF(Assumptions!$D$85=1,C21,MAX(0,C18+C37+C19+C38)))</f>
        <v>-0</v>
      </c>
      <c r="D47" s="28" t="n">
        <f aca="false">-MIN(Assumptions!$D$86,Assumptions!$D$84*IF(Assumptions!$D$85=1,D21,MAX(0,D18+D37+D19+D38)))</f>
        <v>-0</v>
      </c>
      <c r="E47" s="28" t="n">
        <f aca="false">-MIN(Assumptions!$D$86,Assumptions!$D$84*IF(Assumptions!$D$85=1,E21,MAX(0,E18+E37+E19+E38)))</f>
        <v>-0</v>
      </c>
      <c r="F47" s="28" t="n">
        <f aca="false">-MIN(Assumptions!$D$86,Assumptions!$D$84*IF(Assumptions!$D$85=1,F21,MAX(0,F18+F37+F19+F38)))</f>
        <v>-0</v>
      </c>
      <c r="G47" s="28" t="n">
        <f aca="false">-MIN(Assumptions!$D$86,Assumptions!$D$84*IF(Assumptions!$D$85=1,G21,MAX(0,G18+G37+G19+G38)))</f>
        <v>-0</v>
      </c>
      <c r="H47" s="28" t="n">
        <f aca="false">-MIN(Assumptions!$D$86,Assumptions!$D$84*IF(Assumptions!$D$85=1,H21,MAX(0,H18+H37+H19+H38)))</f>
        <v>-0</v>
      </c>
      <c r="I47" s="28" t="n">
        <f aca="false">-MIN(Assumptions!$D$86,Assumptions!$D$84*IF(Assumptions!$D$85=1,I21,MAX(0,I18+I37+I19+I38)))</f>
        <v>-0</v>
      </c>
    </row>
    <row r="48" customFormat="false" ht="15" hidden="false" customHeight="false" outlineLevel="0" collapsed="false">
      <c r="A48" s="9" t="s">
        <v>334</v>
      </c>
      <c r="C48" s="26" t="n">
        <f aca="false">C41+SUM(C44:C47)</f>
        <v>6868747</v>
      </c>
      <c r="D48" s="26" t="n">
        <f aca="false">D41+SUM(D44:D47)</f>
        <v>12045995.2</v>
      </c>
      <c r="E48" s="26" t="n">
        <f aca="false">E41+SUM(E44:E47)</f>
        <v>14634619.3</v>
      </c>
      <c r="F48" s="26" t="n">
        <f aca="false">F41+SUM(F44:F47)</f>
        <v>15497494</v>
      </c>
      <c r="G48" s="26" t="n">
        <f aca="false">G41+SUM(G44:G47)</f>
        <v>15497494</v>
      </c>
      <c r="H48" s="26" t="n">
        <f aca="false">H41+SUM(H44:H47)</f>
        <v>16360368.7</v>
      </c>
      <c r="I48" s="26" t="n">
        <f aca="false">I41+SUM(I44:I47)</f>
        <v>17266387.135</v>
      </c>
    </row>
    <row r="49" customFormat="false" ht="15" hidden="false" customHeight="false" outlineLevel="0" collapsed="false">
      <c r="A49" s="27" t="s">
        <v>335</v>
      </c>
      <c r="C49" s="29" t="n">
        <f aca="false">IF(C21=0,0,C48/C21)</f>
        <v>0.506659061214473</v>
      </c>
      <c r="D49" s="29" t="n">
        <f aca="false">IF(D21=0,0,D48/D21)</f>
        <v>0.555342610106513</v>
      </c>
      <c r="E49" s="29" t="n">
        <f aca="false">IF(E21=0,0,E48/E21)</f>
        <v>0.56815407034126</v>
      </c>
      <c r="F49" s="29" t="n">
        <f aca="false">IF(F21=0,0,F48/F21)</f>
        <v>0.571570459737193</v>
      </c>
      <c r="G49" s="29" t="n">
        <f aca="false">IF(G21=0,0,G48/G21)</f>
        <v>0.571570459737193</v>
      </c>
      <c r="H49" s="29" t="n">
        <f aca="false">IF(H21=0,0,H48/H21)</f>
        <v>0.574661478714465</v>
      </c>
      <c r="I49" s="29" t="n">
        <f aca="false">IF(I21=0,0,I48/I21)</f>
        <v>0.577605306311868</v>
      </c>
    </row>
    <row r="51" customFormat="false" ht="15" hidden="false" customHeight="false" outlineLevel="0" collapsed="false">
      <c r="A51" s="31" t="s">
        <v>336</v>
      </c>
      <c r="B51" s="32"/>
      <c r="C51" s="32"/>
      <c r="D51" s="32"/>
      <c r="E51" s="32"/>
      <c r="F51" s="32"/>
      <c r="G51" s="32"/>
      <c r="H51" s="32"/>
      <c r="I51" s="32"/>
    </row>
    <row r="52" customFormat="false" ht="15" hidden="false" customHeight="false" outlineLevel="0" collapsed="false">
      <c r="A52" s="27" t="s">
        <v>337</v>
      </c>
      <c r="C52" s="28" t="n">
        <f aca="false">-Assumptions!$D$88*MAX(0,C48)</f>
        <v>-1373749.4</v>
      </c>
      <c r="D52" s="28" t="n">
        <f aca="false">-Assumptions!$D$88*MAX(0,D48)</f>
        <v>-2409199.04</v>
      </c>
      <c r="E52" s="28" t="n">
        <f aca="false">-Assumptions!$D$88*MAX(0,E48)</f>
        <v>-2926923.86</v>
      </c>
      <c r="F52" s="28" t="n">
        <f aca="false">-Assumptions!$D$88*MAX(0,F48)</f>
        <v>-3099498.8</v>
      </c>
      <c r="G52" s="28" t="n">
        <f aca="false">-Assumptions!$D$88*MAX(0,G48)</f>
        <v>-3099498.8</v>
      </c>
      <c r="H52" s="28" t="n">
        <f aca="false">-Assumptions!$D$88*MAX(0,H48)</f>
        <v>-3272073.74</v>
      </c>
      <c r="I52" s="28" t="n">
        <f aca="false">-Assumptions!$D$88*MAX(0,I48)</f>
        <v>-3453277.427</v>
      </c>
    </row>
    <row r="53" customFormat="false" ht="15" hidden="false" customHeight="false" outlineLevel="0" collapsed="false">
      <c r="A53" s="27" t="s">
        <v>338</v>
      </c>
      <c r="C53" s="39" t="n">
        <f aca="false">-C52/Assumptions!$D$5</f>
        <v>13.737494</v>
      </c>
      <c r="D53" s="39" t="n">
        <f aca="false">-D52/Assumptions!$D$5</f>
        <v>24.0919904</v>
      </c>
      <c r="E53" s="39" t="n">
        <f aca="false">-E52/Assumptions!$D$5</f>
        <v>29.2692386</v>
      </c>
      <c r="F53" s="39" t="n">
        <f aca="false">-F52/Assumptions!$D$5</f>
        <v>30.994988</v>
      </c>
      <c r="G53" s="39" t="n">
        <f aca="false">-G52/Assumptions!$D$5</f>
        <v>30.994988</v>
      </c>
      <c r="H53" s="39" t="n">
        <f aca="false">-H52/Assumptions!$D$5</f>
        <v>32.7207374</v>
      </c>
      <c r="I53" s="39" t="n">
        <f aca="false">-I52/Assumptions!$D$5</f>
        <v>34.53277427</v>
      </c>
    </row>
    <row r="54" customFormat="false" ht="15" hidden="false" customHeight="false" outlineLevel="0" collapsed="false">
      <c r="A54" s="27" t="s">
        <v>339</v>
      </c>
      <c r="C54" s="28" t="n">
        <f aca="false">Assumptions!$D$89*Assumptions!$D$5</f>
        <v>1500000</v>
      </c>
      <c r="D54" s="28" t="n">
        <f aca="false">Assumptions!$D$89*Assumptions!$D$5</f>
        <v>1500000</v>
      </c>
      <c r="E54" s="28" t="n">
        <f aca="false">Assumptions!$D$89*Assumptions!$D$5</f>
        <v>1500000</v>
      </c>
      <c r="F54" s="28" t="n">
        <f aca="false">Assumptions!$D$89*Assumptions!$D$5</f>
        <v>1500000</v>
      </c>
      <c r="G54" s="28" t="n">
        <f aca="false">Assumptions!$D$89*Assumptions!$D$5</f>
        <v>1500000</v>
      </c>
      <c r="H54" s="28" t="n">
        <f aca="false">Assumptions!$D$89*Assumptions!$D$5</f>
        <v>1500000</v>
      </c>
      <c r="I54" s="28" t="n">
        <f aca="false">Assumptions!$D$89*Assumptions!$D$5</f>
        <v>1500000</v>
      </c>
    </row>
    <row r="55" customFormat="false" ht="15" hidden="false" customHeight="false" outlineLevel="0" collapsed="false">
      <c r="A55" s="27" t="s">
        <v>340</v>
      </c>
      <c r="C55" s="40" t="n">
        <f aca="false">IF(C54=0,0,-C52/C54)</f>
        <v>0.915832933333334</v>
      </c>
      <c r="D55" s="40" t="n">
        <f aca="false">IF(D54=0,0,-D52/D54)</f>
        <v>1.60613269333333</v>
      </c>
      <c r="E55" s="40" t="n">
        <f aca="false">IF(E54=0,0,-E52/E54)</f>
        <v>1.95128257333333</v>
      </c>
      <c r="F55" s="40" t="n">
        <f aca="false">IF(F54=0,0,-F52/F54)</f>
        <v>2.06633253333333</v>
      </c>
      <c r="G55" s="40" t="n">
        <f aca="false">IF(G54=0,0,-G52/G54)</f>
        <v>2.06633253333333</v>
      </c>
      <c r="H55" s="40" t="n">
        <f aca="false">IF(H54=0,0,-H52/H54)</f>
        <v>2.18138249333333</v>
      </c>
      <c r="I55" s="40" t="n">
        <f aca="false">IF(I54=0,0,-I52/I54)</f>
        <v>2.30218495133333</v>
      </c>
    </row>
    <row r="57" customFormat="false" ht="15" hidden="false" customHeight="false" outlineLevel="0" collapsed="false">
      <c r="A57" s="31" t="s">
        <v>341</v>
      </c>
      <c r="B57" s="32"/>
      <c r="C57" s="32"/>
      <c r="D57" s="32"/>
      <c r="E57" s="32"/>
      <c r="F57" s="32"/>
      <c r="G57" s="32"/>
      <c r="H57" s="32"/>
      <c r="I57" s="32"/>
    </row>
    <row r="58" customFormat="false" ht="15" hidden="false" customHeight="false" outlineLevel="0" collapsed="false">
      <c r="A58" s="27" t="s">
        <v>342</v>
      </c>
      <c r="C58" s="28" t="n">
        <f aca="false">-Assumptions!$D$90</f>
        <v>-750000</v>
      </c>
      <c r="D58" s="28" t="n">
        <f aca="false">-Assumptions!$D$90</f>
        <v>-750000</v>
      </c>
      <c r="E58" s="28" t="n">
        <f aca="false">-Assumptions!$D$90</f>
        <v>-750000</v>
      </c>
      <c r="F58" s="28" t="n">
        <f aca="false">-Assumptions!$D$90</f>
        <v>-750000</v>
      </c>
      <c r="G58" s="28" t="n">
        <f aca="false">-Assumptions!$D$90</f>
        <v>-750000</v>
      </c>
      <c r="H58" s="28" t="n">
        <f aca="false">-Assumptions!$D$90</f>
        <v>-750000</v>
      </c>
      <c r="I58" s="28" t="n">
        <f aca="false">-Assumptions!$D$90</f>
        <v>-750000</v>
      </c>
    </row>
    <row r="59" customFormat="false" ht="15" hidden="false" customHeight="false" outlineLevel="0" collapsed="false">
      <c r="A59" s="9" t="s">
        <v>343</v>
      </c>
      <c r="C59" s="26" t="n">
        <f aca="false">C48+C52+C58</f>
        <v>4744997.6</v>
      </c>
      <c r="D59" s="26" t="n">
        <f aca="false">D48+D52+D58</f>
        <v>8886796.16</v>
      </c>
      <c r="E59" s="26" t="n">
        <f aca="false">E48+E52+E58</f>
        <v>10957695.44</v>
      </c>
      <c r="F59" s="26" t="n">
        <f aca="false">F48+F52+F58</f>
        <v>11647995.2</v>
      </c>
      <c r="G59" s="26" t="n">
        <f aca="false">G48+G52+G58</f>
        <v>11647995.2</v>
      </c>
      <c r="H59" s="26" t="n">
        <f aca="false">H48+H52+H58</f>
        <v>12338294.96</v>
      </c>
      <c r="I59" s="26" t="n">
        <f aca="false">I48+I52+I58</f>
        <v>13063109.708</v>
      </c>
    </row>
    <row r="60" customFormat="false" ht="15" hidden="false" customHeight="false" outlineLevel="0" collapsed="false">
      <c r="A60" s="27" t="s">
        <v>99</v>
      </c>
      <c r="C60" s="28" t="n">
        <f aca="false">IF(1&gt;=2,-C21*Assumptions!$D$91,0)</f>
        <v>0</v>
      </c>
      <c r="D60" s="28" t="n">
        <f aca="false">IF(2&gt;=2,-D21*Assumptions!$D$91,0)</f>
        <v>-325366.584</v>
      </c>
      <c r="E60" s="28" t="n">
        <f aca="false">IF(3&gt;=2,-E21*Assumptions!$D$91,0)</f>
        <v>-386372.8185</v>
      </c>
      <c r="F60" s="28" t="n">
        <f aca="false">IF(4&gt;=2,-F21*Assumptions!$D$91,0)</f>
        <v>-406708.23</v>
      </c>
      <c r="G60" s="28" t="n">
        <f aca="false">IF(5&gt;=2,-G21*Assumptions!$D$91,0)</f>
        <v>-406708.23</v>
      </c>
      <c r="H60" s="28" t="n">
        <f aca="false">IF(6&gt;=2,-H21*Assumptions!$D$91,0)</f>
        <v>-427043.6415</v>
      </c>
      <c r="I60" s="28" t="n">
        <f aca="false">IF(7&gt;=2,-I21*Assumptions!$D$91,0)</f>
        <v>-448395.823575</v>
      </c>
    </row>
    <row r="61" customFormat="false" ht="15" hidden="false" customHeight="false" outlineLevel="0" collapsed="false">
      <c r="A61" s="27" t="s">
        <v>6</v>
      </c>
      <c r="B61" s="28" t="n">
        <f aca="false">-Assumptions!$D$110</f>
        <v>-5100000</v>
      </c>
      <c r="C61" s="28" t="n">
        <f aca="false">0</f>
        <v>0</v>
      </c>
      <c r="D61" s="28" t="n">
        <f aca="false">0</f>
        <v>0</v>
      </c>
      <c r="E61" s="28" t="n">
        <f aca="false">0</f>
        <v>0</v>
      </c>
      <c r="F61" s="28" t="n">
        <f aca="false">0</f>
        <v>0</v>
      </c>
      <c r="G61" s="28" t="n">
        <f aca="false">0</f>
        <v>0</v>
      </c>
      <c r="H61" s="28" t="n">
        <f aca="false">0</f>
        <v>0</v>
      </c>
      <c r="I61" s="28" t="n">
        <f aca="false">0</f>
        <v>0</v>
      </c>
    </row>
    <row r="62" customFormat="false" ht="15" hidden="false" customHeight="false" outlineLevel="0" collapsed="false">
      <c r="A62" s="9" t="s">
        <v>344</v>
      </c>
      <c r="B62" s="26" t="n">
        <f aca="false">B61</f>
        <v>-5100000</v>
      </c>
      <c r="C62" s="26" t="n">
        <f aca="false">C59+C60+C61</f>
        <v>4744997.6</v>
      </c>
      <c r="D62" s="26" t="n">
        <f aca="false">D59+D60+D61</f>
        <v>8561429.576</v>
      </c>
      <c r="E62" s="26" t="n">
        <f aca="false">E59+E60+E61</f>
        <v>10571322.6215</v>
      </c>
      <c r="F62" s="26" t="n">
        <f aca="false">F59+F60+F61</f>
        <v>11241286.97</v>
      </c>
      <c r="G62" s="26" t="n">
        <f aca="false">G59+G60+G61</f>
        <v>11241286.97</v>
      </c>
      <c r="H62" s="26" t="n">
        <f aca="false">H59+H60+H61</f>
        <v>11911251.3185</v>
      </c>
      <c r="I62" s="26" t="n">
        <f aca="false">I59+I60+I61</f>
        <v>12614713.884425</v>
      </c>
    </row>
    <row r="63" customFormat="false" ht="15" hidden="false" customHeight="false" outlineLevel="0" collapsed="false">
      <c r="A63" s="27" t="s">
        <v>345</v>
      </c>
      <c r="B63" s="28" t="n">
        <v>0</v>
      </c>
      <c r="C63" s="28" t="n">
        <f aca="false">IF(1=7,Assumptions!$D$109*(C59+C60),0)</f>
        <v>0</v>
      </c>
      <c r="D63" s="28" t="n">
        <f aca="false">IF(2=7,Assumptions!$D$109*(D59+D60),0)</f>
        <v>0</v>
      </c>
      <c r="E63" s="28" t="n">
        <f aca="false">IF(3=7,Assumptions!$D$109*(E59+E60),0)</f>
        <v>0</v>
      </c>
      <c r="F63" s="28" t="n">
        <f aca="false">IF(4=7,Assumptions!$D$109*(F59+F60),0)</f>
        <v>0</v>
      </c>
      <c r="G63" s="28" t="n">
        <f aca="false">IF(5=7,Assumptions!$D$109*(G59+G60),0)</f>
        <v>0</v>
      </c>
      <c r="H63" s="28" t="n">
        <f aca="false">IF(6=7,Assumptions!$D$109*(H59+H60),0)</f>
        <v>0</v>
      </c>
      <c r="I63" s="28" t="n">
        <f aca="false">IF(7=7,Assumptions!$D$109*(I59+I60),0)</f>
        <v>113532424.959825</v>
      </c>
    </row>
    <row r="64" customFormat="false" ht="15" hidden="false" customHeight="false" outlineLevel="0" collapsed="false">
      <c r="A64" s="9" t="s">
        <v>346</v>
      </c>
      <c r="B64" s="26" t="n">
        <f aca="false">B62</f>
        <v>-5100000</v>
      </c>
      <c r="C64" s="26" t="n">
        <f aca="false">C62+C63</f>
        <v>4744997.6</v>
      </c>
      <c r="D64" s="26" t="n">
        <f aca="false">D62+D63</f>
        <v>8561429.576</v>
      </c>
      <c r="E64" s="26" t="n">
        <f aca="false">E62+E63</f>
        <v>10571322.6215</v>
      </c>
      <c r="F64" s="26" t="n">
        <f aca="false">F62+F63</f>
        <v>11241286.97</v>
      </c>
      <c r="G64" s="26" t="n">
        <f aca="false">G62+G63</f>
        <v>11241286.97</v>
      </c>
      <c r="H64" s="26" t="n">
        <f aca="false">H62+H63</f>
        <v>11911251.3185</v>
      </c>
      <c r="I64" s="26" t="n">
        <f aca="false">I62+I63</f>
        <v>126147138.84425</v>
      </c>
    </row>
    <row r="65" customFormat="false" ht="15" hidden="false" customHeight="false" outlineLevel="0" collapsed="false">
      <c r="A65" s="27" t="s">
        <v>347</v>
      </c>
      <c r="B65" s="28" t="n">
        <f aca="false">B62</f>
        <v>-5100000</v>
      </c>
      <c r="C65" s="28" t="n">
        <f aca="false">B65+C62</f>
        <v>-355002.399999999</v>
      </c>
      <c r="D65" s="28" t="n">
        <f aca="false">C65+D62</f>
        <v>8206427.176</v>
      </c>
      <c r="E65" s="28" t="n">
        <f aca="false">D65+E62</f>
        <v>18777749.7975</v>
      </c>
      <c r="F65" s="28" t="n">
        <f aca="false">E65+F62</f>
        <v>30019036.7675</v>
      </c>
      <c r="G65" s="28" t="n">
        <f aca="false">F65+G62</f>
        <v>41260323.7375</v>
      </c>
      <c r="H65" s="28" t="n">
        <f aca="false">G65+H62</f>
        <v>53171575.056</v>
      </c>
      <c r="I65" s="28" t="n">
        <f aca="false">H65+I62</f>
        <v>65786288.940425</v>
      </c>
    </row>
    <row r="67" customFormat="false" ht="15" hidden="false" customHeight="false" outlineLevel="0" collapsed="false">
      <c r="A67" s="31" t="s">
        <v>290</v>
      </c>
      <c r="B67" s="32"/>
      <c r="C67" s="32"/>
      <c r="D67" s="32"/>
      <c r="E67" s="32"/>
      <c r="F67" s="32"/>
      <c r="G67" s="32"/>
      <c r="H67" s="32"/>
      <c r="I67" s="32"/>
    </row>
    <row r="68" customFormat="false" ht="15" hidden="false" customHeight="false" outlineLevel="0" collapsed="false">
      <c r="A68" s="0" t="s">
        <v>17</v>
      </c>
      <c r="B68" s="41" t="n">
        <f aca="false">IFERROR(IRR(B62:I62),"n/a (never recovers)")</f>
        <v>1.33056421597119</v>
      </c>
    </row>
    <row r="69" customFormat="false" ht="15" hidden="false" customHeight="false" outlineLevel="0" collapsed="false">
      <c r="A69" s="0" t="s">
        <v>18</v>
      </c>
      <c r="B69" s="41" t="n">
        <f aca="false">IFERROR(IRR(B64:I64),"n/a")</f>
        <v>1.38884720623945</v>
      </c>
    </row>
    <row r="70" customFormat="false" ht="15" hidden="false" customHeight="false" outlineLevel="0" collapsed="false">
      <c r="A70" s="0" t="s">
        <v>348</v>
      </c>
      <c r="B70" s="26" t="n">
        <f aca="false">B62+NPV(Assumptions!$D$108,C62:I62)</f>
        <v>34358621.3584257</v>
      </c>
    </row>
    <row r="71" customFormat="false" ht="15" hidden="false" customHeight="false" outlineLevel="0" collapsed="false">
      <c r="A71" s="0" t="s">
        <v>349</v>
      </c>
      <c r="B71" s="26" t="n">
        <f aca="false">B64+NPV(Assumptions!$D$108,C64:I64)</f>
        <v>77039665.1331129</v>
      </c>
    </row>
    <row r="72" customFormat="false" ht="15" hidden="false" customHeight="false" outlineLevel="0" collapsed="false">
      <c r="A72" s="0" t="s">
        <v>21</v>
      </c>
      <c r="B72" s="41" t="n">
        <f aca="false">SUM(C62:I62)/-B62</f>
        <v>13.8992723412598</v>
      </c>
    </row>
    <row r="73" customFormat="false" ht="15" hidden="false" customHeight="false" outlineLevel="0" collapsed="false">
      <c r="A73" s="0" t="s">
        <v>22</v>
      </c>
      <c r="B73" s="41" t="n">
        <f aca="false">SUM(C64:I64)/-B64</f>
        <v>36.1605321373039</v>
      </c>
    </row>
    <row r="74" customFormat="false" ht="15" hidden="false" customHeight="false" outlineLevel="0" collapsed="false">
      <c r="A74" s="0" t="s">
        <v>23</v>
      </c>
      <c r="B74" s="42" t="str">
        <f aca="false">IFERROR(INDEX($C$3:$I$3,MATCH(TRUE(),INDEX(C65:I65&gt;=0,0),0)),"beyond Y7")</f>
        <v>Y2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2026-09-02T21:27:54Z</dcterms:created>
  <dc:creator>openpyxl</dc:creator>
  <dc:description/>
  <dc:language>en-US</dc:language>
  <cp:lastModifiedBy/>
  <dcterms:modified xsi:type="dcterms:W3CDTF">2026-09-02T21:27:54Z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